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480" yWindow="105" windowWidth="14115" windowHeight="4695" firstSheet="8" activeTab="8"/>
  </bookViews>
  <sheets>
    <sheet name="CalculadoraFuturos2.0-Diario" sheetId="8" r:id="rId1"/>
    <sheet name="CalculadoraFuturos2.0-V2" sheetId="7" r:id="rId2"/>
    <sheet name="Calculadora" sheetId="3" r:id="rId3"/>
    <sheet name="Calculadora (2)" sheetId="4" r:id="rId4"/>
    <sheet name="Varios 1" sheetId="1" r:id="rId5"/>
    <sheet name="Varios 2" sheetId="2" r:id="rId6"/>
    <sheet name="CalculadoraFuturos" sheetId="5" r:id="rId7"/>
    <sheet name="CalculadoraFuturos2.0" sheetId="6" r:id="rId8"/>
    <sheet name="Tabla de Scalping" sheetId="9" r:id="rId9"/>
    <sheet name="Calculos-SuperposicionRenkos" sheetId="10" r:id="rId10"/>
    <sheet name="Calculos-Patrones-Probabilidad" sheetId="11" r:id="rId11"/>
    <sheet name="Reporte-Patrones-Probabilidad" sheetId="12" r:id="rId12"/>
    <sheet name="Calculos-Aciertos-Drone" sheetId="13" r:id="rId13"/>
    <sheet name="Calculos-Aciertos-Cian-Renko3-1" sheetId="15" r:id="rId14"/>
  </sheets>
  <calcPr calcId="144525"/>
</workbook>
</file>

<file path=xl/calcChain.xml><?xml version="1.0" encoding="utf-8"?>
<calcChain xmlns="http://schemas.openxmlformats.org/spreadsheetml/2006/main">
  <c r="E50" i="15" l="1"/>
  <c r="F50" i="15" s="1"/>
  <c r="C50" i="15"/>
  <c r="E49" i="15"/>
  <c r="F49" i="15" s="1"/>
  <c r="C49" i="15"/>
  <c r="M5" i="9"/>
  <c r="K5" i="9"/>
  <c r="M15" i="9"/>
  <c r="K15" i="9"/>
  <c r="M14" i="9"/>
  <c r="N14" i="9" s="1"/>
  <c r="K14" i="9"/>
  <c r="M13" i="9"/>
  <c r="N13" i="9" s="1"/>
  <c r="K13" i="9"/>
  <c r="M12" i="9"/>
  <c r="N12" i="9" s="1"/>
  <c r="K12" i="9"/>
  <c r="M11" i="9"/>
  <c r="N11" i="9" s="1"/>
  <c r="K11" i="9"/>
  <c r="M10" i="9"/>
  <c r="K10" i="9"/>
  <c r="M9" i="9"/>
  <c r="N9" i="9" s="1"/>
  <c r="K9" i="9"/>
  <c r="N8" i="9"/>
  <c r="M8" i="9"/>
  <c r="K8" i="9"/>
  <c r="M7" i="9"/>
  <c r="N7" i="9" s="1"/>
  <c r="K7" i="9"/>
  <c r="M6" i="9"/>
  <c r="K6" i="9"/>
  <c r="N5" i="9"/>
  <c r="N15" i="9" l="1"/>
  <c r="N10" i="9"/>
  <c r="N6" i="9"/>
  <c r="C30" i="12"/>
  <c r="G19" i="15" l="1"/>
  <c r="G34" i="15"/>
  <c r="G32" i="15"/>
  <c r="G29" i="15"/>
  <c r="G24" i="15"/>
  <c r="L10" i="15"/>
  <c r="J19" i="13"/>
  <c r="G34" i="13" l="1"/>
  <c r="G32" i="13"/>
  <c r="G29" i="13"/>
  <c r="G24" i="13"/>
  <c r="L10" i="13"/>
  <c r="J14" i="13"/>
  <c r="J13" i="13"/>
  <c r="J12" i="13"/>
  <c r="J11" i="13"/>
  <c r="J10" i="13"/>
  <c r="J9" i="13"/>
  <c r="J8" i="13"/>
  <c r="J7" i="13"/>
  <c r="J5" i="13"/>
  <c r="J6" i="13"/>
  <c r="I4" i="13"/>
  <c r="I14" i="13"/>
  <c r="I13" i="13"/>
  <c r="I12" i="13"/>
  <c r="I11" i="13"/>
  <c r="I10" i="13"/>
  <c r="I9" i="13"/>
  <c r="I8" i="13"/>
  <c r="I7" i="13"/>
  <c r="I6" i="13"/>
  <c r="I5" i="13"/>
  <c r="I15" i="13" l="1"/>
  <c r="C29" i="12"/>
  <c r="C28" i="12"/>
  <c r="C27" i="12"/>
  <c r="C26" i="12"/>
  <c r="C25" i="12"/>
  <c r="C24" i="12"/>
  <c r="C23" i="12"/>
  <c r="C22" i="12"/>
  <c r="C21" i="12"/>
  <c r="D22" i="12"/>
  <c r="D29" i="12" l="1"/>
  <c r="C31" i="12"/>
  <c r="D24" i="12"/>
  <c r="D26" i="12"/>
  <c r="D28" i="12"/>
  <c r="D30" i="12"/>
  <c r="D23" i="12"/>
  <c r="D25" i="12"/>
  <c r="D27" i="12"/>
  <c r="D14" i="12"/>
  <c r="D13" i="12"/>
  <c r="C12" i="12"/>
  <c r="D12" i="12"/>
  <c r="D11" i="12"/>
  <c r="D10" i="12"/>
  <c r="D9" i="12"/>
  <c r="D8" i="12"/>
  <c r="D7" i="12"/>
  <c r="D6" i="12"/>
  <c r="C5" i="12"/>
  <c r="C15" i="12" s="1"/>
  <c r="C13" i="12"/>
  <c r="C14" i="12"/>
  <c r="C11" i="12"/>
  <c r="C10" i="12"/>
  <c r="C9" i="12"/>
  <c r="C8" i="12"/>
  <c r="C7" i="12"/>
  <c r="C6" i="12"/>
  <c r="H24" i="11"/>
  <c r="H23" i="11"/>
  <c r="H22" i="11"/>
  <c r="H21" i="11"/>
  <c r="H20" i="11"/>
  <c r="H19" i="11"/>
  <c r="H18" i="11"/>
  <c r="H17" i="11"/>
  <c r="H16" i="11"/>
  <c r="H15" i="11"/>
  <c r="H14" i="11"/>
  <c r="H13" i="11"/>
  <c r="H12" i="11"/>
  <c r="H11" i="11"/>
  <c r="V24" i="10" l="1"/>
  <c r="V23" i="10"/>
  <c r="V21" i="10"/>
  <c r="V17" i="10"/>
  <c r="V15" i="10"/>
  <c r="V13" i="10"/>
  <c r="V11" i="10"/>
  <c r="V9" i="10"/>
  <c r="V7" i="10"/>
  <c r="P21" i="10"/>
  <c r="P20" i="10"/>
  <c r="P18" i="10"/>
  <c r="P14" i="10"/>
  <c r="P12" i="10"/>
  <c r="P10" i="10"/>
  <c r="I24" i="10"/>
  <c r="E24" i="10"/>
  <c r="E56" i="10"/>
  <c r="O54" i="10"/>
  <c r="U56" i="10"/>
  <c r="O56" i="10"/>
  <c r="U55" i="10"/>
  <c r="U53" i="10"/>
  <c r="U51" i="10"/>
  <c r="U49" i="10"/>
  <c r="U47" i="10"/>
  <c r="U44" i="10"/>
  <c r="U41" i="10"/>
  <c r="U39" i="10"/>
  <c r="U38" i="10"/>
  <c r="U36" i="10"/>
  <c r="U33" i="10"/>
  <c r="O52" i="10"/>
  <c r="O50" i="10"/>
  <c r="O48" i="10"/>
  <c r="O46" i="10"/>
  <c r="O42" i="10"/>
  <c r="O37" i="10"/>
  <c r="O35" i="10"/>
  <c r="E52" i="10"/>
  <c r="E50" i="10"/>
  <c r="E48" i="10" l="1"/>
  <c r="E46" i="10"/>
  <c r="E42" i="10"/>
  <c r="I39" i="10"/>
  <c r="E37" i="10"/>
  <c r="E35" i="10"/>
  <c r="I23" i="10"/>
  <c r="E20" i="10"/>
  <c r="I17" i="10"/>
  <c r="E14" i="10"/>
  <c r="E12" i="10"/>
  <c r="I10" i="10"/>
  <c r="F37" i="9" l="1"/>
  <c r="F47" i="9"/>
  <c r="G47" i="9" s="1"/>
  <c r="D47" i="9"/>
  <c r="F46" i="9"/>
  <c r="G46" i="9" s="1"/>
  <c r="D46" i="9"/>
  <c r="F45" i="9"/>
  <c r="G45" i="9" s="1"/>
  <c r="D45" i="9"/>
  <c r="F44" i="9"/>
  <c r="G44" i="9" s="1"/>
  <c r="D44" i="9"/>
  <c r="G43" i="9"/>
  <c r="F43" i="9"/>
  <c r="D43" i="9"/>
  <c r="F42" i="9"/>
  <c r="G42" i="9" s="1"/>
  <c r="D42" i="9"/>
  <c r="F41" i="9"/>
  <c r="G41" i="9" s="1"/>
  <c r="D41" i="9"/>
  <c r="F40" i="9"/>
  <c r="G40" i="9" s="1"/>
  <c r="D40" i="9"/>
  <c r="F39" i="9"/>
  <c r="G39" i="9" s="1"/>
  <c r="D39" i="9"/>
  <c r="F38" i="9"/>
  <c r="G38" i="9" s="1"/>
  <c r="D38" i="9"/>
  <c r="G37" i="9"/>
  <c r="D37" i="9"/>
  <c r="D22" i="9"/>
  <c r="D23" i="9"/>
  <c r="F23" i="9"/>
  <c r="F22" i="9"/>
  <c r="F32" i="9"/>
  <c r="G32" i="9" s="1"/>
  <c r="D32" i="9"/>
  <c r="F31" i="9"/>
  <c r="G31" i="9" s="1"/>
  <c r="D31" i="9"/>
  <c r="F30" i="9"/>
  <c r="G30" i="9" s="1"/>
  <c r="D30" i="9"/>
  <c r="F29" i="9"/>
  <c r="D29" i="9"/>
  <c r="F28" i="9"/>
  <c r="G28" i="9" s="1"/>
  <c r="D28" i="9"/>
  <c r="F27" i="9"/>
  <c r="G27" i="9" s="1"/>
  <c r="D27" i="9"/>
  <c r="F26" i="9"/>
  <c r="G26" i="9" s="1"/>
  <c r="D26" i="9"/>
  <c r="G25" i="9"/>
  <c r="F25" i="9"/>
  <c r="D25" i="9"/>
  <c r="F24" i="9"/>
  <c r="G24" i="9" s="1"/>
  <c r="D24" i="9"/>
  <c r="G22" i="9"/>
  <c r="G8" i="9"/>
  <c r="G9" i="9"/>
  <c r="G10" i="9"/>
  <c r="G11" i="9"/>
  <c r="G12" i="9"/>
  <c r="G13" i="9"/>
  <c r="G14" i="9"/>
  <c r="G15" i="9"/>
  <c r="F8" i="9"/>
  <c r="F9" i="9"/>
  <c r="F10" i="9"/>
  <c r="F11" i="9"/>
  <c r="F12" i="9"/>
  <c r="F13" i="9"/>
  <c r="F14" i="9"/>
  <c r="F15" i="9"/>
  <c r="F7" i="9"/>
  <c r="G7" i="9" s="1"/>
  <c r="D8" i="9"/>
  <c r="D9" i="9"/>
  <c r="D10" i="9"/>
  <c r="D11" i="9"/>
  <c r="D12" i="9"/>
  <c r="D13" i="9"/>
  <c r="D14" i="9"/>
  <c r="D15" i="9"/>
  <c r="D7" i="9"/>
  <c r="G6" i="9"/>
  <c r="F6" i="9"/>
  <c r="D6" i="9"/>
  <c r="G5" i="9"/>
  <c r="F5" i="9"/>
  <c r="D5" i="9"/>
  <c r="G29" i="9" l="1"/>
  <c r="G23" i="9"/>
  <c r="D7" i="8"/>
  <c r="C17" i="8"/>
  <c r="I18" i="8"/>
  <c r="I19" i="8" s="1"/>
  <c r="C19" i="8" s="1"/>
  <c r="C15" i="8"/>
  <c r="B15" i="8" s="1"/>
  <c r="C25" i="8"/>
  <c r="C11" i="8"/>
  <c r="C9" i="8"/>
  <c r="C7" i="8"/>
  <c r="E7" i="8" s="1"/>
  <c r="D5" i="8"/>
  <c r="C5" i="8"/>
  <c r="N19" i="8" l="1"/>
  <c r="C23" i="8" s="1"/>
  <c r="N20" i="8"/>
  <c r="C11" i="7"/>
  <c r="C17" i="7"/>
  <c r="I16" i="7"/>
  <c r="C27" i="8" l="1"/>
  <c r="D17" i="8"/>
  <c r="B23" i="8" s="1"/>
  <c r="B24" i="8" s="1"/>
  <c r="D23" i="8" s="1"/>
  <c r="C21" i="8"/>
  <c r="B17" i="7"/>
  <c r="B18" i="7" s="1"/>
  <c r="D17" i="7" s="1"/>
  <c r="C19" i="7"/>
  <c r="C27" i="7"/>
  <c r="C15" i="7"/>
  <c r="D15" i="7" s="1"/>
  <c r="B15" i="7" s="1"/>
  <c r="C9" i="7"/>
  <c r="C7" i="7"/>
  <c r="E7" i="7" s="1"/>
  <c r="C5" i="7"/>
  <c r="D5" i="7" s="1"/>
  <c r="B21" i="8" l="1"/>
  <c r="B22" i="8" s="1"/>
  <c r="D21" i="8" s="1"/>
  <c r="B25" i="8"/>
  <c r="B26" i="8" s="1"/>
  <c r="D25" i="8" s="1"/>
  <c r="B17" i="8"/>
  <c r="B27" i="8"/>
  <c r="B28" i="8" s="1"/>
  <c r="D27" i="8" s="1"/>
  <c r="B27" i="7"/>
  <c r="B28" i="7" s="1"/>
  <c r="D27" i="7" s="1"/>
  <c r="D7" i="7"/>
  <c r="C21" i="7"/>
  <c r="C23" i="7"/>
  <c r="C25" i="7"/>
  <c r="B17" i="6"/>
  <c r="D27" i="6"/>
  <c r="B28" i="6"/>
  <c r="D25" i="6"/>
  <c r="B26" i="6"/>
  <c r="B24" i="6"/>
  <c r="B23" i="6"/>
  <c r="D23" i="6"/>
  <c r="D21" i="6"/>
  <c r="B22" i="6"/>
  <c r="B18" i="6"/>
  <c r="D17" i="6" s="1"/>
  <c r="C21" i="6"/>
  <c r="B21" i="6" s="1"/>
  <c r="B27" i="6"/>
  <c r="B25" i="6"/>
  <c r="C27" i="6"/>
  <c r="C25" i="6"/>
  <c r="C23" i="6"/>
  <c r="C19" i="6"/>
  <c r="C17" i="6"/>
  <c r="B21" i="7" l="1"/>
  <c r="B22" i="7" s="1"/>
  <c r="D21" i="7" s="1"/>
  <c r="B25" i="7"/>
  <c r="B26" i="7" s="1"/>
  <c r="D25" i="7" s="1"/>
  <c r="B23" i="7"/>
  <c r="B24" i="7" s="1"/>
  <c r="D23" i="7" s="1"/>
  <c r="E7" i="6"/>
  <c r="D7" i="6"/>
  <c r="D15" i="6"/>
  <c r="B15" i="6" s="1"/>
  <c r="C15" i="6"/>
  <c r="C9" i="6"/>
  <c r="C7" i="6"/>
  <c r="C5" i="6"/>
  <c r="D5" i="6" l="1"/>
  <c r="C6" i="5"/>
  <c r="D6" i="5" s="1"/>
  <c r="C14" i="5"/>
  <c r="B14" i="5"/>
  <c r="C8" i="5"/>
  <c r="C4" i="5"/>
  <c r="C16" i="5" s="1"/>
  <c r="C18" i="5" l="1"/>
  <c r="D4" i="5"/>
  <c r="C17" i="4"/>
  <c r="C14" i="4"/>
  <c r="C8" i="4"/>
  <c r="C6" i="4"/>
  <c r="C4" i="4"/>
  <c r="G10" i="3"/>
  <c r="G14" i="3"/>
  <c r="C16" i="3"/>
  <c r="C19" i="4" l="1"/>
  <c r="B19" i="4" s="1"/>
  <c r="C16" i="4"/>
  <c r="B16" i="4" s="1"/>
  <c r="B14" i="4"/>
  <c r="G3" i="1"/>
  <c r="G5" i="1"/>
  <c r="I3" i="1"/>
  <c r="N3" i="1" l="1"/>
  <c r="K3" i="1"/>
  <c r="B10" i="1"/>
  <c r="B18" i="1"/>
  <c r="C14" i="3" l="1"/>
  <c r="B14" i="3" s="1"/>
  <c r="C8" i="3"/>
  <c r="C6" i="3"/>
  <c r="C18" i="3" s="1"/>
  <c r="C4" i="3"/>
  <c r="C33" i="2"/>
  <c r="C31" i="2"/>
  <c r="H20" i="2"/>
  <c r="C26" i="2"/>
  <c r="C25" i="2"/>
  <c r="C24" i="2"/>
  <c r="H22" i="2"/>
  <c r="O11" i="2"/>
  <c r="O10" i="2"/>
  <c r="H15" i="2"/>
  <c r="H14" i="2"/>
  <c r="M11" i="2"/>
  <c r="M10" i="2"/>
  <c r="M4" i="2"/>
  <c r="D12" i="2" l="1"/>
  <c r="B17" i="2"/>
  <c r="B15" i="2"/>
  <c r="D10" i="2" l="1"/>
  <c r="D8" i="2"/>
  <c r="J7" i="1"/>
  <c r="G15" i="1"/>
  <c r="G16" i="1"/>
  <c r="H5" i="1"/>
  <c r="H3" i="1"/>
  <c r="I15" i="1"/>
  <c r="G7" i="1"/>
</calcChain>
</file>

<file path=xl/sharedStrings.xml><?xml version="1.0" encoding="utf-8"?>
<sst xmlns="http://schemas.openxmlformats.org/spreadsheetml/2006/main" count="685" uniqueCount="275">
  <si>
    <t>Contratos</t>
  </si>
  <si>
    <t>Maxima PERDIDA</t>
  </si>
  <si>
    <t>Maxima ganancia</t>
  </si>
  <si>
    <t>?</t>
  </si>
  <si>
    <t xml:space="preserve">Hasta el momento, no sé cómo calcula. Ha de ser el tema de las comisiones. </t>
  </si>
  <si>
    <t xml:space="preserve">Puede ser una vez nomás que le sume al gasto el 5 porque todavía no se cerró. </t>
  </si>
  <si>
    <t xml:space="preserve">Voy a hacer nomás cómo la licuadora. No sé lo que hace por dentro, pero voy a sacarle jugo. </t>
  </si>
  <si>
    <t xml:space="preserve">Para el ROI se usa esa perdida maxima y esa ganancia máxima. Y ya. </t>
  </si>
  <si>
    <t>Calculadora de colocación de órdenes</t>
  </si>
  <si>
    <t xml:space="preserve">Tamaño de la Cuenta: </t>
  </si>
  <si>
    <t xml:space="preserve">% de Pérdida en cada operación: </t>
  </si>
  <si>
    <t xml:space="preserve">% de Ganancia en cada operación: </t>
  </si>
  <si>
    <t>Hasta cuánto puedo usar para invertir</t>
  </si>
  <si>
    <t>Ejemplo de Hyenuk = 30%</t>
  </si>
  <si>
    <t>Para el Take Profit o Limit</t>
  </si>
  <si>
    <t>Para el Stop Loss</t>
  </si>
  <si>
    <t>Voy a poner el calculo del Tipo ese</t>
  </si>
  <si>
    <t>Inversión en Acciones</t>
  </si>
  <si>
    <t>Precio actual Accion</t>
  </si>
  <si>
    <t xml:space="preserve">Número de acciones a comprar: </t>
  </si>
  <si>
    <t>Acción</t>
  </si>
  <si>
    <t>Opción</t>
  </si>
  <si>
    <t>Incremento del Strike</t>
  </si>
  <si>
    <t xml:space="preserve">Mes </t>
  </si>
  <si>
    <t>Strike</t>
  </si>
  <si>
    <t>Prima</t>
  </si>
  <si>
    <t>jun</t>
  </si>
  <si>
    <t>sep</t>
  </si>
  <si>
    <t xml:space="preserve">Riesgo a asumir: </t>
  </si>
  <si>
    <t>Lote/Cantidad necesario:</t>
  </si>
  <si>
    <t xml:space="preserve">TP: </t>
  </si>
  <si>
    <t>SL:</t>
  </si>
  <si>
    <t xml:space="preserve">Inversion </t>
  </si>
  <si>
    <t>Real</t>
  </si>
  <si>
    <t>Prima_original</t>
  </si>
  <si>
    <t>Quantity</t>
  </si>
  <si>
    <t>Prima_cierre</t>
  </si>
  <si>
    <t>Para que topee 50</t>
  </si>
  <si>
    <t>Para que topee 150 positivo</t>
  </si>
  <si>
    <t xml:space="preserve">Precio Ask de entrada: </t>
  </si>
  <si>
    <t>Tamaño de la cuenta</t>
  </si>
  <si>
    <t>% de Ganancia por Operación</t>
  </si>
  <si>
    <t xml:space="preserve">Ahora asegurarme de ver cómo poner un take profit a una  opción. </t>
  </si>
  <si>
    <t xml:space="preserve">% de Pérdida por Operación </t>
  </si>
  <si>
    <t xml:space="preserve">Monto máximo a invertir: </t>
  </si>
  <si>
    <t>Precio para Take Profit (como mínimo):</t>
  </si>
  <si>
    <t>Precio para Stop Limit:</t>
  </si>
  <si>
    <t>Lote o Quantity:</t>
  </si>
  <si>
    <t xml:space="preserve">Monto real a invertir: </t>
  </si>
  <si>
    <t xml:space="preserve">Tope monto a invertir: </t>
  </si>
  <si>
    <t>10?</t>
  </si>
  <si>
    <t>Minicalculadora de órdenes de opciones LONGs</t>
  </si>
  <si>
    <t xml:space="preserve">Las comisiones son así. </t>
  </si>
  <si>
    <t>Trade</t>
  </si>
  <si>
    <t>Por contrato</t>
  </si>
  <si>
    <t>Demo</t>
  </si>
  <si>
    <t xml:space="preserve">Solo para la apertura. Para el cierre de un trade, se pagan los mismos montos. </t>
  </si>
  <si>
    <t>No recomendado</t>
  </si>
  <si>
    <t xml:space="preserve">Hacer otro considerando la prima como STOP LOSS. </t>
  </si>
  <si>
    <t xml:space="preserve">Y ese tema de 3 a 1 sólo sería con el tema de los boxes. Y poner, o que topee el precio ó el 3% del capital, en precio de contrato. </t>
  </si>
  <si>
    <t xml:space="preserve">Esa parte lo que no entiendo bien. </t>
  </si>
  <si>
    <t xml:space="preserve">Necesariamente tiene que ser un OR. La activación. </t>
  </si>
  <si>
    <t>Cerrar contrato si: OR precio contrato es mayor o igual a 1.26$</t>
  </si>
  <si>
    <t xml:space="preserve">OR Cerrar contrato si precio subyacente es mayor o igual a tal precio que está </t>
  </si>
  <si>
    <t xml:space="preserve">dado por gerenciamiento de boxes. Pongámosle precio del Subyacente. </t>
  </si>
  <si>
    <t>Take Profit</t>
  </si>
  <si>
    <t>Stop loss</t>
  </si>
  <si>
    <t xml:space="preserve">Como la prima es nuestro stop loss tácito o por defecto, no es necesario poner </t>
  </si>
  <si>
    <t xml:space="preserve">otra condición con respecto al valor del contrato. </t>
  </si>
  <si>
    <t xml:space="preserve">La única condición que pondríamos es si el precio del subyacente </t>
  </si>
  <si>
    <t xml:space="preserve">es menor a un precio que fijamos de antemano como los boxes. </t>
  </si>
  <si>
    <t xml:space="preserve">Esto puede causar que, se pierda menos que el valor total de la prima. </t>
  </si>
  <si>
    <t>P. Contrato</t>
  </si>
  <si>
    <t>% de Ganancia Max. por Operación</t>
  </si>
  <si>
    <t xml:space="preserve">% de Pérdida Máx.  por Operación </t>
  </si>
  <si>
    <t xml:space="preserve">El B/R de 3:1 es Así: </t>
  </si>
  <si>
    <t xml:space="preserve">El valor de la diferencia entre el Take Profit y el precio de ejercicio(strike) sobre el valor de la diferencia entre el stop loss y el precio de ejercicio. </t>
  </si>
  <si>
    <t>ó</t>
  </si>
  <si>
    <t xml:space="preserve">El precio de contrato de cierre/el precio de contrato de apertura. </t>
  </si>
  <si>
    <t xml:space="preserve">Sería hasta 30 puntos. </t>
  </si>
  <si>
    <t>Sería de 90 puntos</t>
  </si>
  <si>
    <t>Mejor caso</t>
  </si>
  <si>
    <t xml:space="preserve">Creo que primero comenzaré con un 2:1 de beneficio. </t>
  </si>
  <si>
    <t xml:space="preserve">Ver esto porque con la comisión es menos. </t>
  </si>
  <si>
    <t xml:space="preserve">Ver esto bien porque con la comisión es menos. </t>
  </si>
  <si>
    <t xml:space="preserve">Ver cuántos tics se puede mover en un día, o en una semana. </t>
  </si>
  <si>
    <t xml:space="preserve">Ver los históricos. </t>
  </si>
  <si>
    <t>Anotar el monto de Garantía.</t>
  </si>
  <si>
    <t xml:space="preserve">Ver nuevamente el vídeo de futuros ultimo de Juan. </t>
  </si>
  <si>
    <t xml:space="preserve">Hasta el momento, mi estrategia será: </t>
  </si>
  <si>
    <t xml:space="preserve">Marco 15 min, y 60 min. Para intradía. </t>
  </si>
  <si>
    <t xml:space="preserve">Esperar que aparezca cian en Navegador en 60 min, luego otro cian en 15 min. En la mima dirección.. </t>
  </si>
  <si>
    <t>Ej. Si está color cian y la tendencia está bajista en 60 min, esperar que la tendencia esté bajista en 15 min</t>
  </si>
  <si>
    <t xml:space="preserve">y cian en el Navegador y entrar en sell. </t>
  </si>
  <si>
    <t>Comisión</t>
  </si>
  <si>
    <t>Ver vídeo de resumen 5 min del viernes</t>
  </si>
  <si>
    <t>ACTIVO:</t>
  </si>
  <si>
    <t>M2KU20</t>
  </si>
  <si>
    <t>Este domingo capaz que habra una sola operación para ver el costo de las comisiones real.</t>
  </si>
  <si>
    <t>Valor Tick</t>
  </si>
  <si>
    <t>5USD</t>
  </si>
  <si>
    <t xml:space="preserve">Tick mínimo: </t>
  </si>
  <si>
    <t>0.1 del índice</t>
  </si>
  <si>
    <t xml:space="preserve">Creo que máximo hasta las 12 podré operar ese, del mediodía. </t>
  </si>
  <si>
    <t xml:space="preserve">Lo que más destaqué es que en las Velas Renko de RUT apareció un Long primero. </t>
  </si>
  <si>
    <t xml:space="preserve">Y después, las 12:49 hs apareció una flecha en la misma dirección en las velas renko y </t>
  </si>
  <si>
    <t>60 min de M2KU20 simultáneamente.</t>
  </si>
  <si>
    <t xml:space="preserve">Vídeo de resumen 5 min del Jueves. </t>
  </si>
  <si>
    <t>En los 3 marcos de tiempo y en el grafico de drone: Daily, 60 min, 15 min y Kase 15,1</t>
  </si>
  <si>
    <t>A las 10:44 aparece una flechita de Limit hacia arriba. Simultáneamente.</t>
  </si>
  <si>
    <t xml:space="preserve">Aparentemente esa flecha lo que hay que esperar. </t>
  </si>
  <si>
    <t xml:space="preserve">He visto que Chris Chris también había sido opera futuros. Voy a tratar de seguirle siempre, en sus vídeos. </t>
  </si>
  <si>
    <t>Por lo menos la parte de M2KU20</t>
  </si>
  <si>
    <t xml:space="preserve">Ver todo lo que dice, pero mirar en Investing.com, para que después, yo también ya pueda volar solo. </t>
  </si>
  <si>
    <t xml:space="preserve">Si es que ya me actualizaron los montos. </t>
  </si>
  <si>
    <t xml:space="preserve">Voy a tratar también de anotar cuál fue el máximo del día, el mínimo del día. </t>
  </si>
  <si>
    <t xml:space="preserve">O ver de a 1 mes, cuánto se movió aprox. En el mes. O cuánto fue el movimiento diario aproximado. </t>
  </si>
  <si>
    <t xml:space="preserve">Tratar de sacar todos estos datos de Investing, </t>
  </si>
  <si>
    <t xml:space="preserve">En real creo. </t>
  </si>
  <si>
    <t xml:space="preserve">Precio de entrada del Futuro: </t>
  </si>
  <si>
    <t>Hasta 40 puntos de Stop Loss se puede comprometer</t>
  </si>
  <si>
    <t>Precio para Break Even:</t>
  </si>
  <si>
    <t>Precio para Take Profit (1.5:1):</t>
  </si>
  <si>
    <t>Precio para Take Profit (2:1):</t>
  </si>
  <si>
    <t>Precio para Take Profit (2.5:1):</t>
  </si>
  <si>
    <t>Precio para Take Profit (3:1):</t>
  </si>
  <si>
    <t>Previsto</t>
  </si>
  <si>
    <t>Total (Prev. + Comisiones)</t>
  </si>
  <si>
    <t>Esto si se tiene poco capital en Futuros no puede cumplirse</t>
  </si>
  <si>
    <t>En mi algoritmo debo contemplar el costo de la comisión inclusive para el tema del TP ó BE</t>
  </si>
  <si>
    <t>Precio para Stop Loss:</t>
  </si>
  <si>
    <t>ROI DE LA CUENTA</t>
  </si>
  <si>
    <t>ROI INVERSION</t>
  </si>
  <si>
    <t>N/A</t>
  </si>
  <si>
    <t>NUNCA PERDER MÁS DEL 2% DE LA CUENTA EN UNA SOLA OPERACIÓN</t>
  </si>
  <si>
    <t xml:space="preserve">Precio de entrada del Contrato Futuro: </t>
  </si>
  <si>
    <t>Por el momento, hacer 2 calculadoras, uno para BUY y otra para SELL</t>
  </si>
  <si>
    <t xml:space="preserve">INGRESE EL PRECIO DE ENTRADA: </t>
  </si>
  <si>
    <t xml:space="preserve">INGRESE EL PRECIO DE STOP: </t>
  </si>
  <si>
    <t>Direccion</t>
  </si>
  <si>
    <t>BUY</t>
  </si>
  <si>
    <t>SELL</t>
  </si>
  <si>
    <t>En demo</t>
  </si>
  <si>
    <t>En real</t>
  </si>
  <si>
    <t>Minicalculadora de órdenes de Futuros</t>
  </si>
  <si>
    <t xml:space="preserve">INGRESE EL PRÓXIMO NIVEL DE SOPORTE O RESISTENCIA: </t>
  </si>
  <si>
    <t>Variables auxiliares</t>
  </si>
  <si>
    <t xml:space="preserve">TerciaParte: </t>
  </si>
  <si>
    <t>MediaParte:</t>
  </si>
  <si>
    <t>Precio para Take Profit (2/3:1):</t>
  </si>
  <si>
    <t>Precio para Take Profit (4/3:1):</t>
  </si>
  <si>
    <t xml:space="preserve">Acá solamente voy a poner el análisis como si se tratase de un solo contrato. </t>
  </si>
  <si>
    <t xml:space="preserve">En mi caso, sería Un contrato por operación. </t>
  </si>
  <si>
    <t xml:space="preserve">Casos de entrada de mi sistema. </t>
  </si>
  <si>
    <t xml:space="preserve">Leer más sobre el Navegador, Iratio y los Boxes el fin de semana. </t>
  </si>
  <si>
    <t xml:space="preserve">Monto nominal a invertir: </t>
  </si>
  <si>
    <t xml:space="preserve">Este es para el caso de 3 contratos, el monto máximo que puedo perder. </t>
  </si>
  <si>
    <t>(Equidad mínima necesaria)</t>
  </si>
  <si>
    <t xml:space="preserve">Luego, arreglar el tema de buy y sell. </t>
  </si>
  <si>
    <t xml:space="preserve">Y después, atendiendo a mi sistema, ir probando en base a lo que vi en estos días. </t>
  </si>
  <si>
    <t>1- Si puedo ver que el precio está por encima del precio injusto superior del gráfico renko del activo (tendencia alcista) y el IRATIO está en zona de sobreventa del Renko del RUT. (Puede tener o no la barrita cian)</t>
  </si>
  <si>
    <t>Viceversa: Si el precio está por debajo del precio injusto inferior del gráfico renko del activo (tendencia bajista) y el IRATIO está en zona de sobrecompra del Renko del RUT. (Puede tener o no la barrita cian)</t>
  </si>
  <si>
    <t>2- Al cierre de la primera vela verde en 15 min después de muchas velas rojas. (puede haber o no vela magenta en medio, para tendencia alcista)</t>
  </si>
  <si>
    <t>Viceversa: Al cierre de la primera vela roja en 15 min después de muchas velas verdes. (puede haber o no vela magenta en medio, para tendencia bajista)</t>
  </si>
  <si>
    <t xml:space="preserve">En esta primera etapa, no probar el drone. </t>
  </si>
  <si>
    <t>Para Scalping en M2KU20</t>
  </si>
  <si>
    <t>TICKS Profit</t>
  </si>
  <si>
    <t>USD Profit</t>
  </si>
  <si>
    <t>Ticks Loss</t>
  </si>
  <si>
    <t>USD LOSS</t>
  </si>
  <si>
    <t>ValorTick</t>
  </si>
  <si>
    <t>% Aciertos mínimo</t>
  </si>
  <si>
    <t xml:space="preserve">Estudiando, creo que lo que podría hacer es reducir los ticks loss en 20. Para así, sólo tener que necesitar más del 66.67% para ganar. </t>
  </si>
  <si>
    <t xml:space="preserve">Lo que es importante es tener el profit factor mayor a 2.5. El resto, no importa. </t>
  </si>
  <si>
    <t>Renko 3 1</t>
  </si>
  <si>
    <t>Renko 3 0.5</t>
  </si>
  <si>
    <t>Hora</t>
  </si>
  <si>
    <t>Precio</t>
  </si>
  <si>
    <t>Lng</t>
  </si>
  <si>
    <t>Srt</t>
  </si>
  <si>
    <t>Accion</t>
  </si>
  <si>
    <t>Abrir Lng</t>
  </si>
  <si>
    <t>Abrir Srt</t>
  </si>
  <si>
    <t>Nada</t>
  </si>
  <si>
    <t>Esperar</t>
  </si>
  <si>
    <t xml:space="preserve">Lng </t>
  </si>
  <si>
    <t>Esto fue del día 09/09/2020</t>
  </si>
  <si>
    <t>Esto fue del día 08/09/2020</t>
  </si>
  <si>
    <t>Esto es el registro para el día 10/09/2020</t>
  </si>
  <si>
    <t>Cerrar y Abrir Srt</t>
  </si>
  <si>
    <t>Cerrar y Abrir Lng</t>
  </si>
  <si>
    <t>Nada, continúa</t>
  </si>
  <si>
    <t>Nada, continuar</t>
  </si>
  <si>
    <t>Cerrar y abrir Srt</t>
  </si>
  <si>
    <t>Cerrar y abrir Lng</t>
  </si>
  <si>
    <t>Esto es el registro para el día 11/09/2020</t>
  </si>
  <si>
    <t>Fecha y Hora</t>
  </si>
  <si>
    <t>Gráfico</t>
  </si>
  <si>
    <t>Nro. Bloques Beneficio</t>
  </si>
  <si>
    <t xml:space="preserve">Sólo por criterio de colocar en una base de datos, la fecha y la hora sacaremos del momento en que las líneas del IRATIO cruzan la línea 0 del Navegador. </t>
  </si>
  <si>
    <t>Observación</t>
  </si>
  <si>
    <t>Después formó otros 3.</t>
  </si>
  <si>
    <t>10/9/2020  15:43:11 AM</t>
  </si>
  <si>
    <t>10/9/2020  13:10:11 AM</t>
  </si>
  <si>
    <t xml:space="preserve">Sólo 1 primero, luego, retrocedió 1 vez, pero luego continuó su curso normal. </t>
  </si>
  <si>
    <t xml:space="preserve">Promedio </t>
  </si>
  <si>
    <t>Hasta ahora</t>
  </si>
  <si>
    <t xml:space="preserve">Moda: </t>
  </si>
  <si>
    <t>1 y 3</t>
  </si>
  <si>
    <t>Después formó otro 1.</t>
  </si>
  <si>
    <t>8/9/2020  14:22:11 PM</t>
  </si>
  <si>
    <t xml:space="preserve">Primer reporte de los patrones. </t>
  </si>
  <si>
    <t>Tamaño de Bloques Beneficios</t>
  </si>
  <si>
    <t>% Repeticiones</t>
  </si>
  <si>
    <t>% Ocurrencia</t>
  </si>
  <si>
    <t>Si salgo con 2 a 1 el 50 % de las veces ganaré 4.</t>
  </si>
  <si>
    <t xml:space="preserve">Sacaré mi Take profit completo el 50% de las veces. </t>
  </si>
  <si>
    <t xml:space="preserve">La primera parte sacaré el 75% de las veces. </t>
  </si>
  <si>
    <t xml:space="preserve">La 2da parte sacaré el 60% de las veces. </t>
  </si>
  <si>
    <t xml:space="preserve">Que es 13.3 Ticks. </t>
  </si>
  <si>
    <t>Que es 26.6 Ticks</t>
  </si>
  <si>
    <t>4/9/2020  15:36:11 PM</t>
  </si>
  <si>
    <t>4/9/2020  13:18:11 PM</t>
  </si>
  <si>
    <t>Segudo reporte</t>
  </si>
  <si>
    <t>Bloques Beneficios</t>
  </si>
  <si>
    <t>11/9/2020  14:43:11 PM</t>
  </si>
  <si>
    <t>11/9/2020  14:13:11 PM</t>
  </si>
  <si>
    <t>11/9/2020  13:56:11 PM</t>
  </si>
  <si>
    <t>11/9/2020  13:55:11 PM</t>
  </si>
  <si>
    <t xml:space="preserve">Probabilidad de Acierto: </t>
  </si>
  <si>
    <t xml:space="preserve">Voy a hacer más anotaciones, al menos de 50. o 30. </t>
  </si>
  <si>
    <t>Hasta 20 registros</t>
  </si>
  <si>
    <t>10/9/2020  18:01:11 PM</t>
  </si>
  <si>
    <t>10/9/2020  15:49:11 PM</t>
  </si>
  <si>
    <t>10/9/2020  15:40:11 PM</t>
  </si>
  <si>
    <t>Hasta 25 registros</t>
  </si>
  <si>
    <t>10/9/2020  14:59:11 PM</t>
  </si>
  <si>
    <t>Hasta 27 registros</t>
  </si>
  <si>
    <t>10/9/2020  14:46:11 PM</t>
  </si>
  <si>
    <t>10/9/2020  14:15:11 PM</t>
  </si>
  <si>
    <t>10/9/2020  13:03:11 PM</t>
  </si>
  <si>
    <t>Hasta 30 registros</t>
  </si>
  <si>
    <t xml:space="preserve">Si hago Scapling. </t>
  </si>
  <si>
    <t xml:space="preserve">Analizando los gráficos y el comportamiento del drone, éste último arroja muchas entradas falsas. El que me garantiza un 100% de entrar en una operación, no sabemos si saldrá ganadora ó </t>
  </si>
  <si>
    <t xml:space="preserve">perdedora, es el indicador de desbalance (círculo cian) en la línea 0 del navegador. Especial atención es cuando me sale una señal del drone. Ese será el sentido de la dirección a operar. </t>
  </si>
  <si>
    <t xml:space="preserve">Si veo un círculo cian, esperar que se desarrolle el siguiente círculo, cuando aparece el siguiente círculo es el momento de entrar. </t>
  </si>
  <si>
    <t xml:space="preserve">Puedo ir probando varias veces, para ver cuánto de stop me va sacando. O sea, ir cerrando la operación y anotar cuándo perdí cada vez que me falló el sistema. </t>
  </si>
  <si>
    <t xml:space="preserve">Porque Si me aparece de nuevo un círculo amarillo, significa que ya perdí mi operación, debo cerrarlo. </t>
  </si>
  <si>
    <t xml:space="preserve">Ese nomás luego era mi idea original. </t>
  </si>
  <si>
    <t xml:space="preserve">Espectacular es ese renko, porque incluso antes del gráfico de 15 min me muestra ya el cian. </t>
  </si>
  <si>
    <t xml:space="preserve">Este sistema se llamará Cianes en Renko 3-1. </t>
  </si>
  <si>
    <t xml:space="preserve">Cuando dio solamente 1 cian, contaré como cero. </t>
  </si>
  <si>
    <t xml:space="preserve">A partir del 2do cian, contaré como el primero. </t>
  </si>
  <si>
    <t xml:space="preserve">Y si me aparece de nuevo un círculo cian, significa que puedo seguir y permanecer en la operación, repetir el proceso hasta que aparezca un círculo amarillo, o un histograma magenta, lo que ocurra primero. O la señal de take profit del drone. </t>
  </si>
  <si>
    <t xml:space="preserve">E incluso, puedo hacer un recuento de todo los cianes, así como lo hice el otro día para el tema de los patrones. Más bien, recuento de los beneficios en renkos ubicados en los cianes. </t>
  </si>
  <si>
    <t>14/09/2020 14:51 PM</t>
  </si>
  <si>
    <t>14/09/2020 09:40 AM</t>
  </si>
  <si>
    <t>13/09/2020 22:07 PM</t>
  </si>
  <si>
    <t>13/09/2020 18:00 PM</t>
  </si>
  <si>
    <t>11/9/2020  14:43:00 PM</t>
  </si>
  <si>
    <t>11/9/2020  13:04:00 PM</t>
  </si>
  <si>
    <t>10/9/2020  21:14:00 PM</t>
  </si>
  <si>
    <t>10/9/2020  16:04:00 PM</t>
  </si>
  <si>
    <t>10/9/2020  15:20:00 PM</t>
  </si>
  <si>
    <t>10/9/2020  14:18:00 PM</t>
  </si>
  <si>
    <t>9/9/2020  22:13:00 AM</t>
  </si>
  <si>
    <t>Hasta 15 registros</t>
  </si>
  <si>
    <t>5 USD</t>
  </si>
  <si>
    <t>10 USD</t>
  </si>
  <si>
    <t>15 USD</t>
  </si>
  <si>
    <t>20 USD</t>
  </si>
  <si>
    <t>10 Tics</t>
  </si>
  <si>
    <t>20 Ticks</t>
  </si>
  <si>
    <t>30 Ticks</t>
  </si>
  <si>
    <t>40 tikcs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</si>
</sst>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quot;$&quot;#,##0.00"/>
  </numFmts>
  <fonts count="3" x14ac:knownFonts="1">
    <font>
      <sz val="11"/>
      <color theme="1"/>
      <name val="Calibri"/>
      <family val="2"/>
      <scheme val="minor"/>
    </font>
    <font>
      <sz val="11"/>
      <color theme="0"/>
      <name val="Calibri"/>
      <family val="2"/>
      <scheme val="minor"/>
    </font>
    <font>
      <b/>
      <sz val="11"/>
      <color theme="1"/>
      <name val="Calibri"/>
      <family val="2"/>
      <scheme val="minor"/>
    </font>
  </fonts>
  <fills count="12">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5" tint="-0.249977111117893"/>
        <bgColor indexed="64"/>
      </patternFill>
    </fill>
    <fill>
      <patternFill patternType="solid">
        <fgColor theme="6" tint="0.59999389629810485"/>
        <bgColor indexed="64"/>
      </patternFill>
    </fill>
    <fill>
      <patternFill patternType="solid">
        <fgColor rgb="FF92D050"/>
        <bgColor indexed="64"/>
      </patternFill>
    </fill>
    <fill>
      <patternFill patternType="solid">
        <fgColor rgb="FFFF0000"/>
        <bgColor indexed="64"/>
      </patternFill>
    </fill>
    <fill>
      <patternFill patternType="solid">
        <fgColor rgb="FFFFC000"/>
        <bgColor indexed="64"/>
      </patternFill>
    </fill>
    <fill>
      <patternFill patternType="solid">
        <fgColor theme="0" tint="-0.249977111117893"/>
        <bgColor indexed="64"/>
      </patternFill>
    </fill>
    <fill>
      <patternFill patternType="solid">
        <fgColor theme="6" tint="0.39997558519241921"/>
        <bgColor indexed="64"/>
      </patternFill>
    </fill>
    <fill>
      <patternFill patternType="solid">
        <fgColor theme="9" tint="-0.249977111117893"/>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56">
    <xf numFmtId="0" fontId="0" fillId="0" borderId="0" xfId="0"/>
    <xf numFmtId="0" fontId="0" fillId="2" borderId="0" xfId="0" applyFill="1"/>
    <xf numFmtId="9" fontId="0" fillId="0" borderId="0" xfId="0" applyNumberFormat="1"/>
    <xf numFmtId="0" fontId="0" fillId="3" borderId="0" xfId="0" applyFill="1"/>
    <xf numFmtId="9" fontId="0" fillId="3" borderId="0" xfId="0" applyNumberFormat="1" applyFill="1"/>
    <xf numFmtId="0" fontId="0" fillId="3" borderId="1" xfId="0" applyFill="1" applyBorder="1"/>
    <xf numFmtId="9" fontId="0" fillId="3" borderId="1" xfId="0" applyNumberFormat="1" applyFill="1" applyBorder="1"/>
    <xf numFmtId="0" fontId="0" fillId="2" borderId="1" xfId="0" applyFill="1" applyBorder="1"/>
    <xf numFmtId="9" fontId="0" fillId="2" borderId="1" xfId="0" applyNumberFormat="1" applyFill="1" applyBorder="1"/>
    <xf numFmtId="0" fontId="0" fillId="6" borderId="1" xfId="0" applyFill="1" applyBorder="1"/>
    <xf numFmtId="0" fontId="0" fillId="7" borderId="1" xfId="0" applyFill="1" applyBorder="1"/>
    <xf numFmtId="164" fontId="0" fillId="2" borderId="1" xfId="0" applyNumberFormat="1" applyFill="1" applyBorder="1"/>
    <xf numFmtId="164" fontId="0" fillId="5" borderId="1" xfId="0" applyNumberFormat="1" applyFill="1" applyBorder="1"/>
    <xf numFmtId="9" fontId="0" fillId="5" borderId="1" xfId="0" applyNumberFormat="1" applyFill="1" applyBorder="1"/>
    <xf numFmtId="0" fontId="0" fillId="0" borderId="1" xfId="0" applyBorder="1"/>
    <xf numFmtId="0" fontId="0" fillId="0" borderId="0" xfId="0" applyFill="1" applyBorder="1"/>
    <xf numFmtId="164" fontId="0" fillId="0" borderId="0" xfId="0" applyNumberFormat="1"/>
    <xf numFmtId="164" fontId="0" fillId="6" borderId="1" xfId="0" applyNumberFormat="1" applyFill="1" applyBorder="1"/>
    <xf numFmtId="164" fontId="0" fillId="7" borderId="1" xfId="0" applyNumberFormat="1" applyFill="1" applyBorder="1"/>
    <xf numFmtId="164" fontId="0" fillId="3" borderId="1" xfId="0" applyNumberFormat="1" applyFill="1" applyBorder="1"/>
    <xf numFmtId="0" fontId="0" fillId="5" borderId="1" xfId="0" applyFill="1" applyBorder="1" applyAlignment="1">
      <alignment horizontal="center"/>
    </xf>
    <xf numFmtId="10" fontId="0" fillId="5" borderId="1" xfId="0" applyNumberFormat="1" applyFill="1" applyBorder="1"/>
    <xf numFmtId="4" fontId="0" fillId="0" borderId="0" xfId="0" applyNumberFormat="1"/>
    <xf numFmtId="20" fontId="0" fillId="0" borderId="0" xfId="0" applyNumberFormat="1"/>
    <xf numFmtId="0" fontId="0" fillId="5" borderId="1" xfId="0" applyFill="1" applyBorder="1" applyAlignment="1">
      <alignment horizontal="center"/>
    </xf>
    <xf numFmtId="0" fontId="0" fillId="5" borderId="1" xfId="0" applyFill="1" applyBorder="1" applyAlignment="1">
      <alignment horizontal="center" vertical="center" wrapText="1"/>
    </xf>
    <xf numFmtId="0" fontId="0" fillId="5" borderId="1" xfId="0" applyFill="1" applyBorder="1" applyAlignment="1">
      <alignment horizontal="center" vertical="center"/>
    </xf>
    <xf numFmtId="0" fontId="0" fillId="8" borderId="0" xfId="0" applyFill="1"/>
    <xf numFmtId="0" fontId="0" fillId="3" borderId="1" xfId="0" applyFill="1" applyBorder="1" applyAlignment="1">
      <alignment horizontal="center" vertical="center"/>
    </xf>
    <xf numFmtId="9" fontId="0" fillId="0" borderId="1" xfId="0" applyNumberFormat="1" applyFill="1" applyBorder="1"/>
    <xf numFmtId="10" fontId="0" fillId="0" borderId="1" xfId="0" applyNumberFormat="1" applyFill="1" applyBorder="1"/>
    <xf numFmtId="0" fontId="0" fillId="3" borderId="1" xfId="0" applyFill="1" applyBorder="1" applyAlignment="1">
      <alignment horizontal="center" vertical="center" wrapText="1"/>
    </xf>
    <xf numFmtId="164" fontId="0" fillId="3" borderId="1" xfId="0" applyNumberFormat="1" applyFill="1" applyBorder="1" applyAlignment="1">
      <alignment horizontal="center" vertical="center"/>
    </xf>
    <xf numFmtId="0" fontId="0" fillId="5" borderId="1" xfId="0" applyFill="1" applyBorder="1" applyAlignment="1">
      <alignment horizontal="center"/>
    </xf>
    <xf numFmtId="0" fontId="0" fillId="8" borderId="0" xfId="0" applyFill="1" applyAlignment="1">
      <alignment horizontal="center" vertical="center"/>
    </xf>
    <xf numFmtId="3" fontId="0" fillId="2" borderId="1" xfId="0" applyNumberFormat="1" applyFill="1" applyBorder="1"/>
    <xf numFmtId="10" fontId="0" fillId="0" borderId="0" xfId="0" applyNumberFormat="1"/>
    <xf numFmtId="0" fontId="0" fillId="0" borderId="0" xfId="0" applyAlignment="1">
      <alignment horizontal="center" vertical="center" wrapText="1"/>
    </xf>
    <xf numFmtId="0" fontId="0" fillId="9" borderId="0" xfId="0" applyFill="1"/>
    <xf numFmtId="20" fontId="0" fillId="9" borderId="0" xfId="0" applyNumberFormat="1" applyFill="1"/>
    <xf numFmtId="0" fontId="0" fillId="10" borderId="0" xfId="0" applyFill="1"/>
    <xf numFmtId="20" fontId="0" fillId="10" borderId="0" xfId="0" applyNumberFormat="1" applyFill="1"/>
    <xf numFmtId="0" fontId="0" fillId="11" borderId="0" xfId="0" applyFill="1"/>
    <xf numFmtId="20" fontId="0" fillId="11" borderId="0" xfId="0" applyNumberFormat="1" applyFill="1"/>
    <xf numFmtId="0" fontId="0" fillId="6" borderId="0" xfId="0" applyFill="1"/>
    <xf numFmtId="20" fontId="0" fillId="6" borderId="0" xfId="0" applyNumberFormat="1" applyFill="1"/>
    <xf numFmtId="0" fontId="0" fillId="0" borderId="0" xfId="0" applyAlignment="1">
      <alignment horizontal="center" vertical="center"/>
    </xf>
    <xf numFmtId="22" fontId="0" fillId="0" borderId="0" xfId="0" applyNumberFormat="1" applyAlignment="1">
      <alignment horizontal="center" vertical="center"/>
    </xf>
    <xf numFmtId="0" fontId="2" fillId="0" borderId="0" xfId="0" applyFont="1" applyAlignment="1">
      <alignment horizontal="center" vertical="center"/>
    </xf>
    <xf numFmtId="22" fontId="0" fillId="0" borderId="0" xfId="0" applyNumberFormat="1"/>
    <xf numFmtId="10" fontId="0" fillId="2" borderId="0" xfId="0" applyNumberFormat="1" applyFill="1"/>
    <xf numFmtId="0" fontId="0" fillId="5" borderId="1" xfId="0" applyFill="1" applyBorder="1" applyAlignment="1">
      <alignment horizontal="center"/>
    </xf>
    <xf numFmtId="0" fontId="0" fillId="0" borderId="0" xfId="0" applyAlignment="1">
      <alignment horizontal="center" vertical="center" wrapText="1"/>
    </xf>
    <xf numFmtId="0" fontId="0" fillId="3" borderId="0" xfId="0" applyFill="1" applyAlignment="1">
      <alignment horizontal="center"/>
    </xf>
    <xf numFmtId="0" fontId="1" fillId="4" borderId="0" xfId="0" applyFont="1" applyFill="1" applyAlignment="1">
      <alignment horizontal="center"/>
    </xf>
    <xf numFmtId="0" fontId="0" fillId="4" borderId="0" xfId="0" applyFill="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18" Type="http://schemas.openxmlformats.org/officeDocument/2006/relationships/image" Target="../media/image19.png"/><Relationship Id="rId3" Type="http://schemas.openxmlformats.org/officeDocument/2006/relationships/image" Target="../media/image4.png"/><Relationship Id="rId21" Type="http://schemas.openxmlformats.org/officeDocument/2006/relationships/image" Target="../media/image22.png"/><Relationship Id="rId7" Type="http://schemas.openxmlformats.org/officeDocument/2006/relationships/image" Target="../media/image8.png"/><Relationship Id="rId12" Type="http://schemas.openxmlformats.org/officeDocument/2006/relationships/image" Target="../media/image13.png"/><Relationship Id="rId17" Type="http://schemas.openxmlformats.org/officeDocument/2006/relationships/image" Target="../media/image18.png"/><Relationship Id="rId25" Type="http://schemas.openxmlformats.org/officeDocument/2006/relationships/image" Target="../media/image26.png"/><Relationship Id="rId2" Type="http://schemas.openxmlformats.org/officeDocument/2006/relationships/image" Target="../media/image3.png"/><Relationship Id="rId16" Type="http://schemas.openxmlformats.org/officeDocument/2006/relationships/image" Target="../media/image17.png"/><Relationship Id="rId20" Type="http://schemas.openxmlformats.org/officeDocument/2006/relationships/image" Target="../media/image21.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24" Type="http://schemas.openxmlformats.org/officeDocument/2006/relationships/image" Target="../media/image25.png"/><Relationship Id="rId5" Type="http://schemas.openxmlformats.org/officeDocument/2006/relationships/image" Target="../media/image6.png"/><Relationship Id="rId15" Type="http://schemas.openxmlformats.org/officeDocument/2006/relationships/image" Target="../media/image16.png"/><Relationship Id="rId23" Type="http://schemas.openxmlformats.org/officeDocument/2006/relationships/image" Target="../media/image24.png"/><Relationship Id="rId10" Type="http://schemas.openxmlformats.org/officeDocument/2006/relationships/image" Target="../media/image11.png"/><Relationship Id="rId19" Type="http://schemas.openxmlformats.org/officeDocument/2006/relationships/image" Target="../media/image20.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34</xdr:row>
      <xdr:rowOff>161925</xdr:rowOff>
    </xdr:from>
    <xdr:to>
      <xdr:col>6</xdr:col>
      <xdr:colOff>732543</xdr:colOff>
      <xdr:row>59</xdr:row>
      <xdr:rowOff>8949</xdr:rowOff>
    </xdr:to>
    <xdr:pic>
      <xdr:nvPicPr>
        <xdr:cNvPr id="2" name="1 Imagen"/>
        <xdr:cNvPicPr>
          <a:picLocks noChangeAspect="1"/>
        </xdr:cNvPicPr>
      </xdr:nvPicPr>
      <xdr:blipFill>
        <a:blip xmlns:r="http://schemas.openxmlformats.org/officeDocument/2006/relationships" r:embed="rId1"/>
        <a:stretch>
          <a:fillRect/>
        </a:stretch>
      </xdr:blipFill>
      <xdr:spPr>
        <a:xfrm>
          <a:off x="0" y="6638925"/>
          <a:ext cx="7057143" cy="460952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933451</xdr:colOff>
      <xdr:row>4</xdr:row>
      <xdr:rowOff>9526</xdr:rowOff>
    </xdr:from>
    <xdr:to>
      <xdr:col>2</xdr:col>
      <xdr:colOff>2066925</xdr:colOff>
      <xdr:row>5</xdr:row>
      <xdr:rowOff>3223</xdr:rowOff>
    </xdr:to>
    <xdr:pic>
      <xdr:nvPicPr>
        <xdr:cNvPr id="2" name="1 Imagen"/>
        <xdr:cNvPicPr>
          <a:picLocks noChangeAspect="1"/>
        </xdr:cNvPicPr>
      </xdr:nvPicPr>
      <xdr:blipFill>
        <a:blip xmlns:r="http://schemas.openxmlformats.org/officeDocument/2006/relationships" r:embed="rId1"/>
        <a:stretch>
          <a:fillRect/>
        </a:stretch>
      </xdr:blipFill>
      <xdr:spPr>
        <a:xfrm>
          <a:off x="3981451" y="771526"/>
          <a:ext cx="1133474" cy="2308272"/>
        </a:xfrm>
        <a:prstGeom prst="rect">
          <a:avLst/>
        </a:prstGeom>
      </xdr:spPr>
    </xdr:pic>
    <xdr:clientData/>
  </xdr:twoCellAnchor>
  <xdr:twoCellAnchor editAs="oneCell">
    <xdr:from>
      <xdr:col>2</xdr:col>
      <xdr:colOff>885825</xdr:colOff>
      <xdr:row>5</xdr:row>
      <xdr:rowOff>19050</xdr:rowOff>
    </xdr:from>
    <xdr:to>
      <xdr:col>2</xdr:col>
      <xdr:colOff>2096069</xdr:colOff>
      <xdr:row>5</xdr:row>
      <xdr:rowOff>2286000</xdr:rowOff>
    </xdr:to>
    <xdr:pic>
      <xdr:nvPicPr>
        <xdr:cNvPr id="3" name="2 Imagen"/>
        <xdr:cNvPicPr>
          <a:picLocks noChangeAspect="1"/>
        </xdr:cNvPicPr>
      </xdr:nvPicPr>
      <xdr:blipFill>
        <a:blip xmlns:r="http://schemas.openxmlformats.org/officeDocument/2006/relationships" r:embed="rId2"/>
        <a:stretch>
          <a:fillRect/>
        </a:stretch>
      </xdr:blipFill>
      <xdr:spPr>
        <a:xfrm>
          <a:off x="3933825" y="3095625"/>
          <a:ext cx="1210244" cy="2266950"/>
        </a:xfrm>
        <a:prstGeom prst="rect">
          <a:avLst/>
        </a:prstGeom>
      </xdr:spPr>
    </xdr:pic>
    <xdr:clientData/>
  </xdr:twoCellAnchor>
  <xdr:twoCellAnchor editAs="oneCell">
    <xdr:from>
      <xdr:col>2</xdr:col>
      <xdr:colOff>923926</xdr:colOff>
      <xdr:row>6</xdr:row>
      <xdr:rowOff>9524</xdr:rowOff>
    </xdr:from>
    <xdr:to>
      <xdr:col>2</xdr:col>
      <xdr:colOff>2143125</xdr:colOff>
      <xdr:row>6</xdr:row>
      <xdr:rowOff>2490255</xdr:rowOff>
    </xdr:to>
    <xdr:pic>
      <xdr:nvPicPr>
        <xdr:cNvPr id="4" name="3 Imagen"/>
        <xdr:cNvPicPr>
          <a:picLocks noChangeAspect="1"/>
        </xdr:cNvPicPr>
      </xdr:nvPicPr>
      <xdr:blipFill>
        <a:blip xmlns:r="http://schemas.openxmlformats.org/officeDocument/2006/relationships" r:embed="rId3"/>
        <a:stretch>
          <a:fillRect/>
        </a:stretch>
      </xdr:blipFill>
      <xdr:spPr>
        <a:xfrm>
          <a:off x="3971926" y="5400674"/>
          <a:ext cx="1219199" cy="2480731"/>
        </a:xfrm>
        <a:prstGeom prst="rect">
          <a:avLst/>
        </a:prstGeom>
      </xdr:spPr>
    </xdr:pic>
    <xdr:clientData/>
  </xdr:twoCellAnchor>
  <xdr:twoCellAnchor editAs="oneCell">
    <xdr:from>
      <xdr:col>2</xdr:col>
      <xdr:colOff>962025</xdr:colOff>
      <xdr:row>7</xdr:row>
      <xdr:rowOff>19051</xdr:rowOff>
    </xdr:from>
    <xdr:to>
      <xdr:col>2</xdr:col>
      <xdr:colOff>2152650</xdr:colOff>
      <xdr:row>7</xdr:row>
      <xdr:rowOff>2362200</xdr:rowOff>
    </xdr:to>
    <xdr:pic>
      <xdr:nvPicPr>
        <xdr:cNvPr id="5" name="4 Imagen"/>
        <xdr:cNvPicPr>
          <a:picLocks noChangeAspect="1"/>
        </xdr:cNvPicPr>
      </xdr:nvPicPr>
      <xdr:blipFill>
        <a:blip xmlns:r="http://schemas.openxmlformats.org/officeDocument/2006/relationships" r:embed="rId4"/>
        <a:stretch>
          <a:fillRect/>
        </a:stretch>
      </xdr:blipFill>
      <xdr:spPr>
        <a:xfrm>
          <a:off x="4010025" y="7915276"/>
          <a:ext cx="1190625" cy="2343149"/>
        </a:xfrm>
        <a:prstGeom prst="rect">
          <a:avLst/>
        </a:prstGeom>
      </xdr:spPr>
    </xdr:pic>
    <xdr:clientData/>
  </xdr:twoCellAnchor>
  <xdr:twoCellAnchor editAs="oneCell">
    <xdr:from>
      <xdr:col>2</xdr:col>
      <xdr:colOff>1000125</xdr:colOff>
      <xdr:row>8</xdr:row>
      <xdr:rowOff>26501</xdr:rowOff>
    </xdr:from>
    <xdr:to>
      <xdr:col>2</xdr:col>
      <xdr:colOff>2124075</xdr:colOff>
      <xdr:row>9</xdr:row>
      <xdr:rowOff>6005</xdr:rowOff>
    </xdr:to>
    <xdr:pic>
      <xdr:nvPicPr>
        <xdr:cNvPr id="6" name="5 Imagen"/>
        <xdr:cNvPicPr>
          <a:picLocks noChangeAspect="1"/>
        </xdr:cNvPicPr>
      </xdr:nvPicPr>
      <xdr:blipFill>
        <a:blip xmlns:r="http://schemas.openxmlformats.org/officeDocument/2006/relationships" r:embed="rId5"/>
        <a:stretch>
          <a:fillRect/>
        </a:stretch>
      </xdr:blipFill>
      <xdr:spPr>
        <a:xfrm>
          <a:off x="4048125" y="10303976"/>
          <a:ext cx="1123950" cy="2713179"/>
        </a:xfrm>
        <a:prstGeom prst="rect">
          <a:avLst/>
        </a:prstGeom>
      </xdr:spPr>
    </xdr:pic>
    <xdr:clientData/>
  </xdr:twoCellAnchor>
  <xdr:twoCellAnchor editAs="oneCell">
    <xdr:from>
      <xdr:col>2</xdr:col>
      <xdr:colOff>971551</xdr:colOff>
      <xdr:row>9</xdr:row>
      <xdr:rowOff>38099</xdr:rowOff>
    </xdr:from>
    <xdr:to>
      <xdr:col>2</xdr:col>
      <xdr:colOff>2162175</xdr:colOff>
      <xdr:row>10</xdr:row>
      <xdr:rowOff>2157</xdr:rowOff>
    </xdr:to>
    <xdr:pic>
      <xdr:nvPicPr>
        <xdr:cNvPr id="8" name="7 Imagen"/>
        <xdr:cNvPicPr>
          <a:picLocks noChangeAspect="1"/>
        </xdr:cNvPicPr>
      </xdr:nvPicPr>
      <xdr:blipFill>
        <a:blip xmlns:r="http://schemas.openxmlformats.org/officeDocument/2006/relationships" r:embed="rId6"/>
        <a:stretch>
          <a:fillRect/>
        </a:stretch>
      </xdr:blipFill>
      <xdr:spPr>
        <a:xfrm>
          <a:off x="4019551" y="13049249"/>
          <a:ext cx="1190624" cy="2164333"/>
        </a:xfrm>
        <a:prstGeom prst="rect">
          <a:avLst/>
        </a:prstGeom>
      </xdr:spPr>
    </xdr:pic>
    <xdr:clientData/>
  </xdr:twoCellAnchor>
  <xdr:twoCellAnchor editAs="oneCell">
    <xdr:from>
      <xdr:col>2</xdr:col>
      <xdr:colOff>885826</xdr:colOff>
      <xdr:row>10</xdr:row>
      <xdr:rowOff>38100</xdr:rowOff>
    </xdr:from>
    <xdr:to>
      <xdr:col>2</xdr:col>
      <xdr:colOff>2276476</xdr:colOff>
      <xdr:row>10</xdr:row>
      <xdr:rowOff>2476500</xdr:rowOff>
    </xdr:to>
    <xdr:pic>
      <xdr:nvPicPr>
        <xdr:cNvPr id="9" name="8 Imagen"/>
        <xdr:cNvPicPr>
          <a:picLocks noChangeAspect="1"/>
        </xdr:cNvPicPr>
      </xdr:nvPicPr>
      <xdr:blipFill>
        <a:blip xmlns:r="http://schemas.openxmlformats.org/officeDocument/2006/relationships" r:embed="rId7"/>
        <a:stretch>
          <a:fillRect/>
        </a:stretch>
      </xdr:blipFill>
      <xdr:spPr>
        <a:xfrm>
          <a:off x="3933826" y="15249525"/>
          <a:ext cx="1390650" cy="2438400"/>
        </a:xfrm>
        <a:prstGeom prst="rect">
          <a:avLst/>
        </a:prstGeom>
      </xdr:spPr>
    </xdr:pic>
    <xdr:clientData/>
  </xdr:twoCellAnchor>
  <xdr:twoCellAnchor editAs="oneCell">
    <xdr:from>
      <xdr:col>2</xdr:col>
      <xdr:colOff>581025</xdr:colOff>
      <xdr:row>10</xdr:row>
      <xdr:rowOff>2581412</xdr:rowOff>
    </xdr:from>
    <xdr:to>
      <xdr:col>2</xdr:col>
      <xdr:colOff>2503956</xdr:colOff>
      <xdr:row>11</xdr:row>
      <xdr:rowOff>2524124</xdr:rowOff>
    </xdr:to>
    <xdr:pic>
      <xdr:nvPicPr>
        <xdr:cNvPr id="10" name="9 Imagen"/>
        <xdr:cNvPicPr>
          <a:picLocks noChangeAspect="1"/>
        </xdr:cNvPicPr>
      </xdr:nvPicPr>
      <xdr:blipFill>
        <a:blip xmlns:r="http://schemas.openxmlformats.org/officeDocument/2006/relationships" r:embed="rId8"/>
        <a:stretch>
          <a:fillRect/>
        </a:stretch>
      </xdr:blipFill>
      <xdr:spPr>
        <a:xfrm>
          <a:off x="3629025" y="17792837"/>
          <a:ext cx="1922931" cy="2562087"/>
        </a:xfrm>
        <a:prstGeom prst="rect">
          <a:avLst/>
        </a:prstGeom>
      </xdr:spPr>
    </xdr:pic>
    <xdr:clientData/>
  </xdr:twoCellAnchor>
  <xdr:twoCellAnchor editAs="oneCell">
    <xdr:from>
      <xdr:col>2</xdr:col>
      <xdr:colOff>1114425</xdr:colOff>
      <xdr:row>12</xdr:row>
      <xdr:rowOff>19051</xdr:rowOff>
    </xdr:from>
    <xdr:to>
      <xdr:col>2</xdr:col>
      <xdr:colOff>2264542</xdr:colOff>
      <xdr:row>12</xdr:row>
      <xdr:rowOff>2657475</xdr:rowOff>
    </xdr:to>
    <xdr:pic>
      <xdr:nvPicPr>
        <xdr:cNvPr id="11" name="10 Imagen"/>
        <xdr:cNvPicPr>
          <a:picLocks noChangeAspect="1"/>
        </xdr:cNvPicPr>
      </xdr:nvPicPr>
      <xdr:blipFill>
        <a:blip xmlns:r="http://schemas.openxmlformats.org/officeDocument/2006/relationships" r:embed="rId9"/>
        <a:stretch>
          <a:fillRect/>
        </a:stretch>
      </xdr:blipFill>
      <xdr:spPr>
        <a:xfrm>
          <a:off x="4162425" y="20488276"/>
          <a:ext cx="1150117" cy="2638424"/>
        </a:xfrm>
        <a:prstGeom prst="rect">
          <a:avLst/>
        </a:prstGeom>
      </xdr:spPr>
    </xdr:pic>
    <xdr:clientData/>
  </xdr:twoCellAnchor>
  <xdr:twoCellAnchor editAs="oneCell">
    <xdr:from>
      <xdr:col>2</xdr:col>
      <xdr:colOff>714376</xdr:colOff>
      <xdr:row>13</xdr:row>
      <xdr:rowOff>28574</xdr:rowOff>
    </xdr:from>
    <xdr:to>
      <xdr:col>2</xdr:col>
      <xdr:colOff>2143125</xdr:colOff>
      <xdr:row>13</xdr:row>
      <xdr:rowOff>2612067</xdr:rowOff>
    </xdr:to>
    <xdr:pic>
      <xdr:nvPicPr>
        <xdr:cNvPr id="12" name="11 Imagen"/>
        <xdr:cNvPicPr>
          <a:picLocks noChangeAspect="1"/>
        </xdr:cNvPicPr>
      </xdr:nvPicPr>
      <xdr:blipFill>
        <a:blip xmlns:r="http://schemas.openxmlformats.org/officeDocument/2006/relationships" r:embed="rId10"/>
        <a:stretch>
          <a:fillRect/>
        </a:stretch>
      </xdr:blipFill>
      <xdr:spPr>
        <a:xfrm>
          <a:off x="3762376" y="23193374"/>
          <a:ext cx="1428749" cy="2583493"/>
        </a:xfrm>
        <a:prstGeom prst="rect">
          <a:avLst/>
        </a:prstGeom>
      </xdr:spPr>
    </xdr:pic>
    <xdr:clientData/>
  </xdr:twoCellAnchor>
  <xdr:twoCellAnchor editAs="oneCell">
    <xdr:from>
      <xdr:col>2</xdr:col>
      <xdr:colOff>683798</xdr:colOff>
      <xdr:row>14</xdr:row>
      <xdr:rowOff>0</xdr:rowOff>
    </xdr:from>
    <xdr:to>
      <xdr:col>2</xdr:col>
      <xdr:colOff>2219325</xdr:colOff>
      <xdr:row>14</xdr:row>
      <xdr:rowOff>2324099</xdr:rowOff>
    </xdr:to>
    <xdr:pic>
      <xdr:nvPicPr>
        <xdr:cNvPr id="13" name="12 Imagen"/>
        <xdr:cNvPicPr>
          <a:picLocks noChangeAspect="1"/>
        </xdr:cNvPicPr>
      </xdr:nvPicPr>
      <xdr:blipFill>
        <a:blip xmlns:r="http://schemas.openxmlformats.org/officeDocument/2006/relationships" r:embed="rId11"/>
        <a:stretch>
          <a:fillRect/>
        </a:stretch>
      </xdr:blipFill>
      <xdr:spPr>
        <a:xfrm>
          <a:off x="3731798" y="25822275"/>
          <a:ext cx="1535527" cy="2324099"/>
        </a:xfrm>
        <a:prstGeom prst="rect">
          <a:avLst/>
        </a:prstGeom>
      </xdr:spPr>
    </xdr:pic>
    <xdr:clientData/>
  </xdr:twoCellAnchor>
  <xdr:twoCellAnchor editAs="oneCell">
    <xdr:from>
      <xdr:col>2</xdr:col>
      <xdr:colOff>847725</xdr:colOff>
      <xdr:row>15</xdr:row>
      <xdr:rowOff>0</xdr:rowOff>
    </xdr:from>
    <xdr:to>
      <xdr:col>2</xdr:col>
      <xdr:colOff>2114550</xdr:colOff>
      <xdr:row>15</xdr:row>
      <xdr:rowOff>2437467</xdr:rowOff>
    </xdr:to>
    <xdr:pic>
      <xdr:nvPicPr>
        <xdr:cNvPr id="14" name="13 Imagen"/>
        <xdr:cNvPicPr>
          <a:picLocks noChangeAspect="1"/>
        </xdr:cNvPicPr>
      </xdr:nvPicPr>
      <xdr:blipFill>
        <a:blip xmlns:r="http://schemas.openxmlformats.org/officeDocument/2006/relationships" r:embed="rId12"/>
        <a:stretch>
          <a:fillRect/>
        </a:stretch>
      </xdr:blipFill>
      <xdr:spPr>
        <a:xfrm>
          <a:off x="3895725" y="28165425"/>
          <a:ext cx="1266825" cy="2437467"/>
        </a:xfrm>
        <a:prstGeom prst="rect">
          <a:avLst/>
        </a:prstGeom>
      </xdr:spPr>
    </xdr:pic>
    <xdr:clientData/>
  </xdr:twoCellAnchor>
  <xdr:twoCellAnchor editAs="oneCell">
    <xdr:from>
      <xdr:col>2</xdr:col>
      <xdr:colOff>771525</xdr:colOff>
      <xdr:row>15</xdr:row>
      <xdr:rowOff>2466976</xdr:rowOff>
    </xdr:from>
    <xdr:to>
      <xdr:col>2</xdr:col>
      <xdr:colOff>2390774</xdr:colOff>
      <xdr:row>16</xdr:row>
      <xdr:rowOff>2428875</xdr:rowOff>
    </xdr:to>
    <xdr:pic>
      <xdr:nvPicPr>
        <xdr:cNvPr id="15" name="14 Imagen"/>
        <xdr:cNvPicPr>
          <a:picLocks noChangeAspect="1"/>
        </xdr:cNvPicPr>
      </xdr:nvPicPr>
      <xdr:blipFill>
        <a:blip xmlns:r="http://schemas.openxmlformats.org/officeDocument/2006/relationships" r:embed="rId13"/>
        <a:stretch>
          <a:fillRect/>
        </a:stretch>
      </xdr:blipFill>
      <xdr:spPr>
        <a:xfrm>
          <a:off x="3819525" y="30632401"/>
          <a:ext cx="1619249" cy="2438399"/>
        </a:xfrm>
        <a:prstGeom prst="rect">
          <a:avLst/>
        </a:prstGeom>
      </xdr:spPr>
    </xdr:pic>
    <xdr:clientData/>
  </xdr:twoCellAnchor>
  <xdr:twoCellAnchor editAs="oneCell">
    <xdr:from>
      <xdr:col>2</xdr:col>
      <xdr:colOff>628649</xdr:colOff>
      <xdr:row>17</xdr:row>
      <xdr:rowOff>9526</xdr:rowOff>
    </xdr:from>
    <xdr:to>
      <xdr:col>2</xdr:col>
      <xdr:colOff>2505074</xdr:colOff>
      <xdr:row>17</xdr:row>
      <xdr:rowOff>2356378</xdr:rowOff>
    </xdr:to>
    <xdr:pic>
      <xdr:nvPicPr>
        <xdr:cNvPr id="17" name="16 Imagen"/>
        <xdr:cNvPicPr>
          <a:picLocks noChangeAspect="1"/>
        </xdr:cNvPicPr>
      </xdr:nvPicPr>
      <xdr:blipFill>
        <a:blip xmlns:r="http://schemas.openxmlformats.org/officeDocument/2006/relationships" r:embed="rId14"/>
        <a:stretch>
          <a:fillRect/>
        </a:stretch>
      </xdr:blipFill>
      <xdr:spPr>
        <a:xfrm>
          <a:off x="3676649" y="33099376"/>
          <a:ext cx="1876425" cy="2346852"/>
        </a:xfrm>
        <a:prstGeom prst="rect">
          <a:avLst/>
        </a:prstGeom>
      </xdr:spPr>
    </xdr:pic>
    <xdr:clientData/>
  </xdr:twoCellAnchor>
  <xdr:twoCellAnchor editAs="oneCell">
    <xdr:from>
      <xdr:col>2</xdr:col>
      <xdr:colOff>552451</xdr:colOff>
      <xdr:row>18</xdr:row>
      <xdr:rowOff>13859</xdr:rowOff>
    </xdr:from>
    <xdr:to>
      <xdr:col>2</xdr:col>
      <xdr:colOff>2657475</xdr:colOff>
      <xdr:row>18</xdr:row>
      <xdr:rowOff>2405686</xdr:rowOff>
    </xdr:to>
    <xdr:pic>
      <xdr:nvPicPr>
        <xdr:cNvPr id="18" name="17 Imagen"/>
        <xdr:cNvPicPr>
          <a:picLocks noChangeAspect="1"/>
        </xdr:cNvPicPr>
      </xdr:nvPicPr>
      <xdr:blipFill>
        <a:blip xmlns:r="http://schemas.openxmlformats.org/officeDocument/2006/relationships" r:embed="rId15"/>
        <a:stretch>
          <a:fillRect/>
        </a:stretch>
      </xdr:blipFill>
      <xdr:spPr>
        <a:xfrm>
          <a:off x="3600451" y="35465909"/>
          <a:ext cx="2105024" cy="2391827"/>
        </a:xfrm>
        <a:prstGeom prst="rect">
          <a:avLst/>
        </a:prstGeom>
      </xdr:spPr>
    </xdr:pic>
    <xdr:clientData/>
  </xdr:twoCellAnchor>
  <xdr:twoCellAnchor editAs="oneCell">
    <xdr:from>
      <xdr:col>2</xdr:col>
      <xdr:colOff>723900</xdr:colOff>
      <xdr:row>19</xdr:row>
      <xdr:rowOff>0</xdr:rowOff>
    </xdr:from>
    <xdr:to>
      <xdr:col>2</xdr:col>
      <xdr:colOff>2228850</xdr:colOff>
      <xdr:row>19</xdr:row>
      <xdr:rowOff>2348403</xdr:rowOff>
    </xdr:to>
    <xdr:pic>
      <xdr:nvPicPr>
        <xdr:cNvPr id="19" name="18 Imagen"/>
        <xdr:cNvPicPr>
          <a:picLocks noChangeAspect="1"/>
        </xdr:cNvPicPr>
      </xdr:nvPicPr>
      <xdr:blipFill>
        <a:blip xmlns:r="http://schemas.openxmlformats.org/officeDocument/2006/relationships" r:embed="rId16"/>
        <a:stretch>
          <a:fillRect/>
        </a:stretch>
      </xdr:blipFill>
      <xdr:spPr>
        <a:xfrm>
          <a:off x="3771900" y="37909500"/>
          <a:ext cx="1504950" cy="2348403"/>
        </a:xfrm>
        <a:prstGeom prst="rect">
          <a:avLst/>
        </a:prstGeom>
      </xdr:spPr>
    </xdr:pic>
    <xdr:clientData/>
  </xdr:twoCellAnchor>
  <xdr:twoCellAnchor editAs="oneCell">
    <xdr:from>
      <xdr:col>2</xdr:col>
      <xdr:colOff>695325</xdr:colOff>
      <xdr:row>20</xdr:row>
      <xdr:rowOff>19049</xdr:rowOff>
    </xdr:from>
    <xdr:to>
      <xdr:col>2</xdr:col>
      <xdr:colOff>2295525</xdr:colOff>
      <xdr:row>21</xdr:row>
      <xdr:rowOff>1437</xdr:rowOff>
    </xdr:to>
    <xdr:pic>
      <xdr:nvPicPr>
        <xdr:cNvPr id="20" name="19 Imagen"/>
        <xdr:cNvPicPr>
          <a:picLocks noChangeAspect="1"/>
        </xdr:cNvPicPr>
      </xdr:nvPicPr>
      <xdr:blipFill>
        <a:blip xmlns:r="http://schemas.openxmlformats.org/officeDocument/2006/relationships" r:embed="rId17"/>
        <a:stretch>
          <a:fillRect/>
        </a:stretch>
      </xdr:blipFill>
      <xdr:spPr>
        <a:xfrm>
          <a:off x="3743325" y="40281224"/>
          <a:ext cx="1600200" cy="2449363"/>
        </a:xfrm>
        <a:prstGeom prst="rect">
          <a:avLst/>
        </a:prstGeom>
      </xdr:spPr>
    </xdr:pic>
    <xdr:clientData/>
  </xdr:twoCellAnchor>
  <xdr:twoCellAnchor editAs="oneCell">
    <xdr:from>
      <xdr:col>2</xdr:col>
      <xdr:colOff>742950</xdr:colOff>
      <xdr:row>21</xdr:row>
      <xdr:rowOff>9525</xdr:rowOff>
    </xdr:from>
    <xdr:to>
      <xdr:col>2</xdr:col>
      <xdr:colOff>2314575</xdr:colOff>
      <xdr:row>22</xdr:row>
      <xdr:rowOff>13753</xdr:rowOff>
    </xdr:to>
    <xdr:pic>
      <xdr:nvPicPr>
        <xdr:cNvPr id="21" name="20 Imagen"/>
        <xdr:cNvPicPr>
          <a:picLocks noChangeAspect="1"/>
        </xdr:cNvPicPr>
      </xdr:nvPicPr>
      <xdr:blipFill>
        <a:blip xmlns:r="http://schemas.openxmlformats.org/officeDocument/2006/relationships" r:embed="rId18"/>
        <a:stretch>
          <a:fillRect/>
        </a:stretch>
      </xdr:blipFill>
      <xdr:spPr>
        <a:xfrm>
          <a:off x="3790950" y="42738675"/>
          <a:ext cx="1571625" cy="2356903"/>
        </a:xfrm>
        <a:prstGeom prst="rect">
          <a:avLst/>
        </a:prstGeom>
      </xdr:spPr>
    </xdr:pic>
    <xdr:clientData/>
  </xdr:twoCellAnchor>
  <xdr:twoCellAnchor editAs="oneCell">
    <xdr:from>
      <xdr:col>2</xdr:col>
      <xdr:colOff>885825</xdr:colOff>
      <xdr:row>22</xdr:row>
      <xdr:rowOff>1</xdr:rowOff>
    </xdr:from>
    <xdr:to>
      <xdr:col>2</xdr:col>
      <xdr:colOff>2247900</xdr:colOff>
      <xdr:row>23</xdr:row>
      <xdr:rowOff>11246</xdr:rowOff>
    </xdr:to>
    <xdr:pic>
      <xdr:nvPicPr>
        <xdr:cNvPr id="22" name="21 Imagen"/>
        <xdr:cNvPicPr>
          <a:picLocks noChangeAspect="1"/>
        </xdr:cNvPicPr>
      </xdr:nvPicPr>
      <xdr:blipFill>
        <a:blip xmlns:r="http://schemas.openxmlformats.org/officeDocument/2006/relationships" r:embed="rId19"/>
        <a:stretch>
          <a:fillRect/>
        </a:stretch>
      </xdr:blipFill>
      <xdr:spPr>
        <a:xfrm>
          <a:off x="3933825" y="45081826"/>
          <a:ext cx="1362075" cy="2478220"/>
        </a:xfrm>
        <a:prstGeom prst="rect">
          <a:avLst/>
        </a:prstGeom>
      </xdr:spPr>
    </xdr:pic>
    <xdr:clientData/>
  </xdr:twoCellAnchor>
  <xdr:twoCellAnchor editAs="oneCell">
    <xdr:from>
      <xdr:col>2</xdr:col>
      <xdr:colOff>828676</xdr:colOff>
      <xdr:row>23</xdr:row>
      <xdr:rowOff>19050</xdr:rowOff>
    </xdr:from>
    <xdr:to>
      <xdr:col>2</xdr:col>
      <xdr:colOff>2286000</xdr:colOff>
      <xdr:row>24</xdr:row>
      <xdr:rowOff>4339</xdr:rowOff>
    </xdr:to>
    <xdr:pic>
      <xdr:nvPicPr>
        <xdr:cNvPr id="23" name="22 Imagen"/>
        <xdr:cNvPicPr>
          <a:picLocks noChangeAspect="1"/>
        </xdr:cNvPicPr>
      </xdr:nvPicPr>
      <xdr:blipFill>
        <a:blip xmlns:r="http://schemas.openxmlformats.org/officeDocument/2006/relationships" r:embed="rId20"/>
        <a:stretch>
          <a:fillRect/>
        </a:stretch>
      </xdr:blipFill>
      <xdr:spPr>
        <a:xfrm>
          <a:off x="3876676" y="47567850"/>
          <a:ext cx="1457324" cy="2328439"/>
        </a:xfrm>
        <a:prstGeom prst="rect">
          <a:avLst/>
        </a:prstGeom>
      </xdr:spPr>
    </xdr:pic>
    <xdr:clientData/>
  </xdr:twoCellAnchor>
  <xdr:twoCellAnchor editAs="oneCell">
    <xdr:from>
      <xdr:col>2</xdr:col>
      <xdr:colOff>847726</xdr:colOff>
      <xdr:row>24</xdr:row>
      <xdr:rowOff>1</xdr:rowOff>
    </xdr:from>
    <xdr:to>
      <xdr:col>2</xdr:col>
      <xdr:colOff>2269284</xdr:colOff>
      <xdr:row>24</xdr:row>
      <xdr:rowOff>2457451</xdr:rowOff>
    </xdr:to>
    <xdr:pic>
      <xdr:nvPicPr>
        <xdr:cNvPr id="7" name="6 Imagen"/>
        <xdr:cNvPicPr>
          <a:picLocks noChangeAspect="1"/>
        </xdr:cNvPicPr>
      </xdr:nvPicPr>
      <xdr:blipFill>
        <a:blip xmlns:r="http://schemas.openxmlformats.org/officeDocument/2006/relationships" r:embed="rId21"/>
        <a:stretch>
          <a:fillRect/>
        </a:stretch>
      </xdr:blipFill>
      <xdr:spPr>
        <a:xfrm>
          <a:off x="3895726" y="49891951"/>
          <a:ext cx="1421558" cy="2457450"/>
        </a:xfrm>
        <a:prstGeom prst="rect">
          <a:avLst/>
        </a:prstGeom>
      </xdr:spPr>
    </xdr:pic>
    <xdr:clientData/>
  </xdr:twoCellAnchor>
  <xdr:twoCellAnchor editAs="oneCell">
    <xdr:from>
      <xdr:col>2</xdr:col>
      <xdr:colOff>904875</xdr:colOff>
      <xdr:row>25</xdr:row>
      <xdr:rowOff>0</xdr:rowOff>
    </xdr:from>
    <xdr:to>
      <xdr:col>2</xdr:col>
      <xdr:colOff>2247900</xdr:colOff>
      <xdr:row>25</xdr:row>
      <xdr:rowOff>2314575</xdr:rowOff>
    </xdr:to>
    <xdr:pic>
      <xdr:nvPicPr>
        <xdr:cNvPr id="16" name="15 Imagen"/>
        <xdr:cNvPicPr>
          <a:picLocks noChangeAspect="1"/>
        </xdr:cNvPicPr>
      </xdr:nvPicPr>
      <xdr:blipFill>
        <a:blip xmlns:r="http://schemas.openxmlformats.org/officeDocument/2006/relationships" r:embed="rId22"/>
        <a:stretch>
          <a:fillRect/>
        </a:stretch>
      </xdr:blipFill>
      <xdr:spPr>
        <a:xfrm>
          <a:off x="3952875" y="52368450"/>
          <a:ext cx="1343025" cy="2314575"/>
        </a:xfrm>
        <a:prstGeom prst="rect">
          <a:avLst/>
        </a:prstGeom>
      </xdr:spPr>
    </xdr:pic>
    <xdr:clientData/>
  </xdr:twoCellAnchor>
  <xdr:twoCellAnchor editAs="oneCell">
    <xdr:from>
      <xdr:col>2</xdr:col>
      <xdr:colOff>923925</xdr:colOff>
      <xdr:row>25</xdr:row>
      <xdr:rowOff>2324099</xdr:rowOff>
    </xdr:from>
    <xdr:to>
      <xdr:col>2</xdr:col>
      <xdr:colOff>2152470</xdr:colOff>
      <xdr:row>26</xdr:row>
      <xdr:rowOff>2476499</xdr:rowOff>
    </xdr:to>
    <xdr:pic>
      <xdr:nvPicPr>
        <xdr:cNvPr id="24" name="23 Imagen"/>
        <xdr:cNvPicPr>
          <a:picLocks noChangeAspect="1"/>
        </xdr:cNvPicPr>
      </xdr:nvPicPr>
      <xdr:blipFill>
        <a:blip xmlns:r="http://schemas.openxmlformats.org/officeDocument/2006/relationships" r:embed="rId23"/>
        <a:stretch>
          <a:fillRect/>
        </a:stretch>
      </xdr:blipFill>
      <xdr:spPr>
        <a:xfrm>
          <a:off x="3971925" y="54692549"/>
          <a:ext cx="1228545" cy="2486025"/>
        </a:xfrm>
        <a:prstGeom prst="rect">
          <a:avLst/>
        </a:prstGeom>
      </xdr:spPr>
    </xdr:pic>
    <xdr:clientData/>
  </xdr:twoCellAnchor>
  <xdr:twoCellAnchor editAs="oneCell">
    <xdr:from>
      <xdr:col>2</xdr:col>
      <xdr:colOff>866775</xdr:colOff>
      <xdr:row>26</xdr:row>
      <xdr:rowOff>2476500</xdr:rowOff>
    </xdr:from>
    <xdr:to>
      <xdr:col>2</xdr:col>
      <xdr:colOff>2314575</xdr:colOff>
      <xdr:row>27</xdr:row>
      <xdr:rowOff>2320337</xdr:rowOff>
    </xdr:to>
    <xdr:pic>
      <xdr:nvPicPr>
        <xdr:cNvPr id="25" name="24 Imagen"/>
        <xdr:cNvPicPr>
          <a:picLocks noChangeAspect="1"/>
        </xdr:cNvPicPr>
      </xdr:nvPicPr>
      <xdr:blipFill>
        <a:blip xmlns:r="http://schemas.openxmlformats.org/officeDocument/2006/relationships" r:embed="rId24"/>
        <a:stretch>
          <a:fillRect/>
        </a:stretch>
      </xdr:blipFill>
      <xdr:spPr>
        <a:xfrm>
          <a:off x="3914775" y="57178575"/>
          <a:ext cx="1447800" cy="2329862"/>
        </a:xfrm>
        <a:prstGeom prst="rect">
          <a:avLst/>
        </a:prstGeom>
      </xdr:spPr>
    </xdr:pic>
    <xdr:clientData/>
  </xdr:twoCellAnchor>
  <xdr:twoCellAnchor editAs="oneCell">
    <xdr:from>
      <xdr:col>2</xdr:col>
      <xdr:colOff>723901</xdr:colOff>
      <xdr:row>28</xdr:row>
      <xdr:rowOff>9525</xdr:rowOff>
    </xdr:from>
    <xdr:to>
      <xdr:col>2</xdr:col>
      <xdr:colOff>2377825</xdr:colOff>
      <xdr:row>28</xdr:row>
      <xdr:rowOff>2466975</xdr:rowOff>
    </xdr:to>
    <xdr:pic>
      <xdr:nvPicPr>
        <xdr:cNvPr id="26" name="25 Imagen"/>
        <xdr:cNvPicPr>
          <a:picLocks noChangeAspect="1"/>
        </xdr:cNvPicPr>
      </xdr:nvPicPr>
      <xdr:blipFill>
        <a:blip xmlns:r="http://schemas.openxmlformats.org/officeDocument/2006/relationships" r:embed="rId25"/>
        <a:stretch>
          <a:fillRect/>
        </a:stretch>
      </xdr:blipFill>
      <xdr:spPr>
        <a:xfrm>
          <a:off x="3771901" y="59521725"/>
          <a:ext cx="1653924" cy="2457450"/>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2"/>
  <sheetViews>
    <sheetView topLeftCell="A19" workbookViewId="0">
      <selection activeCell="L15" sqref="L15"/>
    </sheetView>
  </sheetViews>
  <sheetFormatPr baseColWidth="10" defaultRowHeight="15" x14ac:dyDescent="0.25"/>
  <cols>
    <col min="1" max="1" width="35.5703125" customWidth="1"/>
    <col min="2" max="2" width="11.42578125" customWidth="1"/>
    <col min="4" max="4" width="13" customWidth="1"/>
    <col min="13" max="13" width="12.28515625" customWidth="1"/>
  </cols>
  <sheetData>
    <row r="1" spans="1:11" x14ac:dyDescent="0.25">
      <c r="A1" s="51" t="s">
        <v>144</v>
      </c>
      <c r="B1" s="51"/>
      <c r="C1" s="51"/>
      <c r="D1" s="51"/>
      <c r="E1" t="s">
        <v>94</v>
      </c>
      <c r="F1" t="s">
        <v>96</v>
      </c>
    </row>
    <row r="2" spans="1:11" ht="30" x14ac:dyDescent="0.25">
      <c r="A2" s="33"/>
      <c r="B2" s="33"/>
      <c r="C2" s="26" t="s">
        <v>126</v>
      </c>
      <c r="D2" s="25" t="s">
        <v>127</v>
      </c>
      <c r="F2" t="s">
        <v>97</v>
      </c>
    </row>
    <row r="3" spans="1:11" x14ac:dyDescent="0.25">
      <c r="A3" s="5" t="s">
        <v>40</v>
      </c>
      <c r="B3" s="6">
        <v>1</v>
      </c>
      <c r="C3" s="11">
        <v>2007</v>
      </c>
      <c r="D3" s="5"/>
      <c r="E3">
        <v>0.4</v>
      </c>
      <c r="F3" t="s">
        <v>142</v>
      </c>
    </row>
    <row r="4" spans="1:11" x14ac:dyDescent="0.25">
      <c r="A4" s="5"/>
      <c r="B4" s="6"/>
      <c r="C4" s="5"/>
      <c r="D4" s="5"/>
      <c r="E4" s="1">
        <v>0.5</v>
      </c>
      <c r="F4" s="1" t="s">
        <v>143</v>
      </c>
    </row>
    <row r="5" spans="1:11" x14ac:dyDescent="0.25">
      <c r="A5" s="5" t="s">
        <v>41</v>
      </c>
      <c r="B5" s="8">
        <v>0.03</v>
      </c>
      <c r="C5" s="12">
        <f>C3*B5</f>
        <v>60.21</v>
      </c>
      <c r="D5" s="19">
        <f>C5-2*E3</f>
        <v>59.410000000000004</v>
      </c>
    </row>
    <row r="6" spans="1:11" x14ac:dyDescent="0.25">
      <c r="A6" s="5"/>
      <c r="B6" s="6"/>
      <c r="C6" s="5"/>
      <c r="D6" s="5"/>
    </row>
    <row r="7" spans="1:11" x14ac:dyDescent="0.25">
      <c r="A7" s="5" t="s">
        <v>43</v>
      </c>
      <c r="B7" s="8">
        <v>0.01</v>
      </c>
      <c r="C7" s="12">
        <f>C3*B7</f>
        <v>20.07</v>
      </c>
      <c r="D7" s="19">
        <f>C7+2*C13*E4</f>
        <v>21.07</v>
      </c>
      <c r="E7" s="22">
        <f>C7/0.5</f>
        <v>40.14</v>
      </c>
      <c r="F7" t="s">
        <v>120</v>
      </c>
    </row>
    <row r="8" spans="1:11" x14ac:dyDescent="0.25">
      <c r="A8" s="5"/>
      <c r="B8" s="6"/>
      <c r="C8" s="5"/>
      <c r="D8" s="5"/>
    </row>
    <row r="9" spans="1:11" x14ac:dyDescent="0.25">
      <c r="A9" s="5" t="s">
        <v>49</v>
      </c>
      <c r="B9" s="8">
        <v>0.1</v>
      </c>
      <c r="C9" s="12">
        <f>C3*B9</f>
        <v>200.70000000000002</v>
      </c>
      <c r="D9" s="5"/>
      <c r="E9" s="27" t="s">
        <v>128</v>
      </c>
      <c r="F9" s="27"/>
      <c r="G9" s="27"/>
      <c r="H9" s="27"/>
      <c r="I9" s="27"/>
    </row>
    <row r="10" spans="1:11" x14ac:dyDescent="0.25">
      <c r="A10" s="5"/>
      <c r="B10" s="6"/>
      <c r="C10" s="5"/>
      <c r="D10" s="5"/>
    </row>
    <row r="11" spans="1:11" x14ac:dyDescent="0.25">
      <c r="A11" s="5" t="s">
        <v>135</v>
      </c>
      <c r="B11" s="5"/>
      <c r="C11" s="11">
        <f>K11</f>
        <v>1563.3</v>
      </c>
      <c r="D11" s="5"/>
      <c r="F11" t="s">
        <v>137</v>
      </c>
      <c r="G11" s="16"/>
      <c r="K11" s="5">
        <v>1563.3</v>
      </c>
    </row>
    <row r="12" spans="1:11" x14ac:dyDescent="0.25">
      <c r="A12" s="5"/>
      <c r="B12" s="5"/>
      <c r="C12" s="5"/>
      <c r="D12" s="5"/>
    </row>
    <row r="13" spans="1:11" x14ac:dyDescent="0.25">
      <c r="A13" s="5" t="s">
        <v>47</v>
      </c>
      <c r="B13" s="5"/>
      <c r="C13" s="35">
        <v>1</v>
      </c>
      <c r="D13" s="5"/>
      <c r="F13" t="s">
        <v>145</v>
      </c>
      <c r="K13" s="5">
        <v>1566.1</v>
      </c>
    </row>
    <row r="14" spans="1:11" x14ac:dyDescent="0.25">
      <c r="A14" s="5"/>
      <c r="B14" s="5"/>
      <c r="C14" s="5"/>
      <c r="D14" s="5"/>
    </row>
    <row r="15" spans="1:11" x14ac:dyDescent="0.25">
      <c r="A15" s="5" t="s">
        <v>155</v>
      </c>
      <c r="B15" s="21">
        <f>C15/C3</f>
        <v>0.93871449925261585</v>
      </c>
      <c r="C15" s="11">
        <f>C13*628*3</f>
        <v>1884</v>
      </c>
      <c r="D15" s="28" t="s">
        <v>133</v>
      </c>
    </row>
    <row r="16" spans="1:11" x14ac:dyDescent="0.25">
      <c r="A16" s="5" t="s">
        <v>157</v>
      </c>
      <c r="B16" s="5"/>
      <c r="C16" s="5"/>
      <c r="D16" s="5"/>
    </row>
    <row r="17" spans="1:14" x14ac:dyDescent="0.25">
      <c r="A17" s="5" t="s">
        <v>48</v>
      </c>
      <c r="B17" s="21">
        <f>D17/C3</f>
        <v>1.096163428001976E-2</v>
      </c>
      <c r="C17" s="11">
        <f>N20*0.5*10*3</f>
        <v>20.999999999999659</v>
      </c>
      <c r="D17" s="19">
        <f>C17+2*C13*E4</f>
        <v>21.999999999999659</v>
      </c>
      <c r="E17" t="s">
        <v>156</v>
      </c>
    </row>
    <row r="18" spans="1:14" ht="33" customHeight="1" x14ac:dyDescent="0.25">
      <c r="A18" s="5"/>
      <c r="B18" s="31" t="s">
        <v>132</v>
      </c>
      <c r="C18" s="5"/>
      <c r="D18" s="31" t="s">
        <v>131</v>
      </c>
      <c r="F18" t="s">
        <v>139</v>
      </c>
      <c r="G18" s="34">
        <v>1</v>
      </c>
      <c r="H18" s="34">
        <v>2</v>
      </c>
      <c r="I18" s="28">
        <f>IF(K11&lt;=K13,1,2)</f>
        <v>1</v>
      </c>
      <c r="M18" s="52" t="s">
        <v>146</v>
      </c>
      <c r="N18" s="52"/>
    </row>
    <row r="19" spans="1:14" x14ac:dyDescent="0.25">
      <c r="A19" s="5" t="s">
        <v>121</v>
      </c>
      <c r="B19" s="29">
        <v>0</v>
      </c>
      <c r="C19" s="17">
        <f>C11+2*E4*I19</f>
        <v>1564.3</v>
      </c>
      <c r="D19" s="28" t="s">
        <v>133</v>
      </c>
      <c r="G19" s="34" t="s">
        <v>140</v>
      </c>
      <c r="H19" s="34" t="s">
        <v>141</v>
      </c>
      <c r="I19" s="28">
        <f>IF(I18=1,1,-1)</f>
        <v>1</v>
      </c>
      <c r="M19" t="s">
        <v>147</v>
      </c>
      <c r="N19" s="28">
        <f>(I19)*(K13-K11)/3</f>
        <v>0.93333333333331814</v>
      </c>
    </row>
    <row r="20" spans="1:14" x14ac:dyDescent="0.25">
      <c r="A20" s="5"/>
      <c r="B20" s="28" t="s">
        <v>133</v>
      </c>
      <c r="C20" s="5"/>
      <c r="D20" s="5"/>
      <c r="M20" t="s">
        <v>148</v>
      </c>
      <c r="N20" s="28">
        <f>(I19)*(K13-K11)/2</f>
        <v>1.3999999999999773</v>
      </c>
    </row>
    <row r="21" spans="1:14" x14ac:dyDescent="0.25">
      <c r="A21" s="5" t="s">
        <v>149</v>
      </c>
      <c r="B21" s="30">
        <f>(I19*(C21-C11)*10*0.5-2*E4)/D17</f>
        <v>0.16666666666668303</v>
      </c>
      <c r="C21" s="17">
        <f>K11+N19*I19</f>
        <v>1564.2333333333333</v>
      </c>
      <c r="D21" s="30">
        <f>B22/C3</f>
        <v>1.7438963627305864E-3</v>
      </c>
    </row>
    <row r="22" spans="1:14" x14ac:dyDescent="0.25">
      <c r="A22" s="5"/>
      <c r="B22" s="32">
        <f>B21*C17</f>
        <v>3.5000000000002869</v>
      </c>
      <c r="C22" s="5"/>
      <c r="D22" s="5"/>
      <c r="F22" t="s">
        <v>151</v>
      </c>
      <c r="G22" s="23"/>
      <c r="J22" s="23"/>
    </row>
    <row r="23" spans="1:14" x14ac:dyDescent="0.25">
      <c r="A23" s="5" t="s">
        <v>150</v>
      </c>
      <c r="B23" s="30">
        <f>(I19*(C23-C11)*10*0.5-2*E4)/D17</f>
        <v>0.37878787878786052</v>
      </c>
      <c r="C23" s="17">
        <f>K11+2*N19*I19</f>
        <v>1565.1666666666665</v>
      </c>
      <c r="D23" s="30">
        <f>B24/C3</f>
        <v>3.9634008243871156E-3</v>
      </c>
      <c r="F23" t="s">
        <v>158</v>
      </c>
    </row>
    <row r="24" spans="1:14" x14ac:dyDescent="0.25">
      <c r="A24" s="5"/>
      <c r="B24" s="32">
        <f>B23*C17</f>
        <v>7.9545454545449417</v>
      </c>
      <c r="C24" s="5"/>
      <c r="D24" s="5"/>
    </row>
    <row r="25" spans="1:14" x14ac:dyDescent="0.25">
      <c r="A25" s="5" t="s">
        <v>123</v>
      </c>
      <c r="B25" s="30">
        <f>(I19*(C25-C11)*10*0.5-2*E4)/D17</f>
        <v>0.59090909090908972</v>
      </c>
      <c r="C25" s="17">
        <f>K13</f>
        <v>1566.1</v>
      </c>
      <c r="D25" s="30">
        <f>B26/C3</f>
        <v>6.1829052860441864E-3</v>
      </c>
      <c r="F25" s="1" t="s">
        <v>159</v>
      </c>
      <c r="G25" s="1"/>
      <c r="H25" s="1"/>
      <c r="I25" s="1"/>
      <c r="J25" s="1"/>
      <c r="K25" s="1"/>
      <c r="L25" s="1"/>
    </row>
    <row r="26" spans="1:14" x14ac:dyDescent="0.25">
      <c r="A26" s="5"/>
      <c r="B26" s="32">
        <f>B25*C17</f>
        <v>12.409090909090683</v>
      </c>
      <c r="C26" s="5"/>
      <c r="D26" s="5"/>
    </row>
    <row r="27" spans="1:14" x14ac:dyDescent="0.25">
      <c r="A27" s="5" t="s">
        <v>130</v>
      </c>
      <c r="B27" s="30">
        <f>(I19*(C27-C11)*10*0.5-2*E4)/D17</f>
        <v>-0.36363636363633828</v>
      </c>
      <c r="C27" s="10">
        <f>K11-N20*I19</f>
        <v>1561.9</v>
      </c>
      <c r="D27" s="30">
        <f>B28/C3</f>
        <v>-3.9860488290978163E-3</v>
      </c>
      <c r="F27" t="s">
        <v>134</v>
      </c>
    </row>
    <row r="28" spans="1:14" x14ac:dyDescent="0.25">
      <c r="A28" s="5"/>
      <c r="B28" s="32">
        <f>B27*D17</f>
        <v>-7.9999999999993179</v>
      </c>
      <c r="C28" s="5"/>
      <c r="D28" s="5"/>
      <c r="F28" t="s">
        <v>152</v>
      </c>
    </row>
    <row r="32" spans="1:14" x14ac:dyDescent="0.25">
      <c r="A32" t="s">
        <v>129</v>
      </c>
    </row>
    <row r="34" spans="1:3" x14ac:dyDescent="0.25">
      <c r="A34" t="s">
        <v>153</v>
      </c>
    </row>
    <row r="35" spans="1:3" x14ac:dyDescent="0.25">
      <c r="A35" t="s">
        <v>160</v>
      </c>
    </row>
    <row r="36" spans="1:3" x14ac:dyDescent="0.25">
      <c r="A36" t="s">
        <v>161</v>
      </c>
    </row>
    <row r="38" spans="1:3" x14ac:dyDescent="0.25">
      <c r="A38" t="s">
        <v>162</v>
      </c>
    </row>
    <row r="39" spans="1:3" x14ac:dyDescent="0.25">
      <c r="A39" t="s">
        <v>163</v>
      </c>
    </row>
    <row r="40" spans="1:3" x14ac:dyDescent="0.25">
      <c r="A40" t="s">
        <v>164</v>
      </c>
    </row>
    <row r="42" spans="1:3" x14ac:dyDescent="0.25">
      <c r="A42" s="1" t="s">
        <v>154</v>
      </c>
      <c r="B42" s="1"/>
      <c r="C42" s="1"/>
    </row>
  </sheetData>
  <mergeCells count="2">
    <mergeCell ref="A1:D1"/>
    <mergeCell ref="M18:N18"/>
  </mergeCell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W160"/>
  <sheetViews>
    <sheetView topLeftCell="A59" workbookViewId="0">
      <selection activeCell="G61" sqref="G61"/>
    </sheetView>
  </sheetViews>
  <sheetFormatPr baseColWidth="10" defaultRowHeight="15" x14ac:dyDescent="0.25"/>
  <cols>
    <col min="16" max="16" width="11.5703125" customWidth="1"/>
    <col min="17" max="17" width="17.140625" customWidth="1"/>
    <col min="22" max="22" width="13.85546875" customWidth="1"/>
    <col min="23" max="23" width="19.28515625" customWidth="1"/>
  </cols>
  <sheetData>
    <row r="2" spans="1:23" x14ac:dyDescent="0.25">
      <c r="A2" t="s">
        <v>186</v>
      </c>
    </row>
    <row r="4" spans="1:23" x14ac:dyDescent="0.25">
      <c r="B4" s="38"/>
      <c r="C4" s="38" t="s">
        <v>175</v>
      </c>
      <c r="D4" s="38"/>
      <c r="E4" s="38"/>
      <c r="F4" s="38"/>
      <c r="G4" s="38" t="s">
        <v>174</v>
      </c>
      <c r="H4" s="38"/>
      <c r="I4" s="38"/>
      <c r="J4" s="38" t="s">
        <v>180</v>
      </c>
      <c r="M4" s="40"/>
      <c r="N4" s="40" t="s">
        <v>175</v>
      </c>
      <c r="O4" s="40"/>
      <c r="P4" s="40"/>
      <c r="Q4" s="40" t="s">
        <v>180</v>
      </c>
      <c r="S4" s="42"/>
      <c r="T4" s="42" t="s">
        <v>174</v>
      </c>
      <c r="U4" s="42"/>
      <c r="V4" s="42"/>
      <c r="W4" s="42" t="s">
        <v>180</v>
      </c>
    </row>
    <row r="5" spans="1:23" x14ac:dyDescent="0.25">
      <c r="B5" s="38" t="s">
        <v>139</v>
      </c>
      <c r="C5" s="38" t="s">
        <v>176</v>
      </c>
      <c r="D5" s="38" t="s">
        <v>177</v>
      </c>
      <c r="E5" s="38"/>
      <c r="F5" s="38" t="s">
        <v>139</v>
      </c>
      <c r="G5" s="38" t="s">
        <v>176</v>
      </c>
      <c r="H5" s="38" t="s">
        <v>177</v>
      </c>
      <c r="I5" s="38"/>
      <c r="J5" s="38"/>
      <c r="M5" s="40" t="s">
        <v>139</v>
      </c>
      <c r="N5" s="40" t="s">
        <v>176</v>
      </c>
      <c r="O5" s="40" t="s">
        <v>177</v>
      </c>
      <c r="P5" s="40"/>
      <c r="Q5" s="40"/>
      <c r="S5" s="42" t="s">
        <v>139</v>
      </c>
      <c r="T5" s="42" t="s">
        <v>176</v>
      </c>
      <c r="U5" s="42" t="s">
        <v>177</v>
      </c>
      <c r="V5" s="42"/>
      <c r="W5" s="42"/>
    </row>
    <row r="6" spans="1:23" x14ac:dyDescent="0.25">
      <c r="B6" s="38"/>
      <c r="C6" s="38"/>
      <c r="D6" s="38"/>
      <c r="E6" s="38"/>
      <c r="F6" s="38" t="s">
        <v>178</v>
      </c>
      <c r="G6" s="39">
        <v>0.39999999999999997</v>
      </c>
      <c r="H6" s="38">
        <v>1521.28</v>
      </c>
      <c r="I6" s="38"/>
      <c r="J6" s="38" t="s">
        <v>183</v>
      </c>
      <c r="M6" s="40"/>
      <c r="N6" s="40"/>
      <c r="O6" s="40"/>
      <c r="P6" s="40"/>
      <c r="Q6" s="40"/>
      <c r="S6" s="42" t="s">
        <v>178</v>
      </c>
      <c r="T6" s="43">
        <v>0.39999999999999997</v>
      </c>
      <c r="U6" s="42">
        <v>1521.28</v>
      </c>
      <c r="V6" s="42"/>
      <c r="W6" s="42" t="s">
        <v>181</v>
      </c>
    </row>
    <row r="7" spans="1:23" x14ac:dyDescent="0.25">
      <c r="B7" s="38"/>
      <c r="C7" s="38"/>
      <c r="D7" s="38"/>
      <c r="E7" s="38"/>
      <c r="F7" s="38" t="s">
        <v>179</v>
      </c>
      <c r="G7" s="39">
        <v>0.40763888888888888</v>
      </c>
      <c r="H7" s="38">
        <v>1518.3</v>
      </c>
      <c r="I7" s="38"/>
      <c r="J7" s="38" t="s">
        <v>183</v>
      </c>
      <c r="M7" s="40"/>
      <c r="N7" s="40"/>
      <c r="O7" s="40"/>
      <c r="P7" s="40"/>
      <c r="Q7" s="40"/>
      <c r="S7" s="42" t="s">
        <v>179</v>
      </c>
      <c r="T7" s="43">
        <v>0.40763888888888888</v>
      </c>
      <c r="U7" s="42">
        <v>1518.3</v>
      </c>
      <c r="V7" s="42">
        <f>U6-U7</f>
        <v>2.9800000000000182</v>
      </c>
      <c r="W7" s="42" t="s">
        <v>193</v>
      </c>
    </row>
    <row r="8" spans="1:23" x14ac:dyDescent="0.25">
      <c r="B8" s="38" t="s">
        <v>178</v>
      </c>
      <c r="C8" s="39">
        <v>0.41250000000000003</v>
      </c>
      <c r="D8" s="38">
        <v>1519.9</v>
      </c>
      <c r="E8" s="38"/>
      <c r="F8" s="38"/>
      <c r="G8" s="38"/>
      <c r="H8" s="38"/>
      <c r="I8" s="38"/>
      <c r="J8" s="38" t="s">
        <v>184</v>
      </c>
      <c r="M8" s="40" t="s">
        <v>178</v>
      </c>
      <c r="N8" s="41">
        <v>0.41250000000000003</v>
      </c>
      <c r="O8" s="40">
        <v>1519.9</v>
      </c>
      <c r="P8" s="40"/>
      <c r="Q8" s="40" t="s">
        <v>181</v>
      </c>
      <c r="S8" s="42"/>
      <c r="T8" s="42"/>
      <c r="U8" s="42"/>
      <c r="V8" s="42"/>
      <c r="W8" s="42"/>
    </row>
    <row r="9" spans="1:23" x14ac:dyDescent="0.25">
      <c r="B9" s="38"/>
      <c r="C9" s="38"/>
      <c r="D9" s="38"/>
      <c r="E9" s="38"/>
      <c r="F9" s="38" t="s">
        <v>178</v>
      </c>
      <c r="G9" s="39">
        <v>0.41597222222222219</v>
      </c>
      <c r="H9" s="38">
        <v>1522.33</v>
      </c>
      <c r="I9" s="38"/>
      <c r="J9" s="38" t="s">
        <v>181</v>
      </c>
      <c r="M9" s="40"/>
      <c r="N9" s="40"/>
      <c r="O9" s="40"/>
      <c r="P9" s="40"/>
      <c r="Q9" s="40"/>
      <c r="S9" s="42" t="s">
        <v>178</v>
      </c>
      <c r="T9" s="43">
        <v>0.41597222222222219</v>
      </c>
      <c r="U9" s="42">
        <v>1522.33</v>
      </c>
      <c r="V9" s="42">
        <f>U7-U9</f>
        <v>-4.0299999999999727</v>
      </c>
      <c r="W9" s="42" t="s">
        <v>194</v>
      </c>
    </row>
    <row r="10" spans="1:23" x14ac:dyDescent="0.25">
      <c r="B10" s="38" t="s">
        <v>179</v>
      </c>
      <c r="C10" s="39">
        <v>0.43055555555555558</v>
      </c>
      <c r="D10" s="38">
        <v>1522.13</v>
      </c>
      <c r="E10" s="38"/>
      <c r="F10" s="38"/>
      <c r="G10" s="38"/>
      <c r="H10" s="38"/>
      <c r="I10" s="38">
        <f>D10-H9</f>
        <v>-0.1999999999998181</v>
      </c>
      <c r="M10" s="40" t="s">
        <v>179</v>
      </c>
      <c r="N10" s="41">
        <v>0.43055555555555558</v>
      </c>
      <c r="O10" s="40">
        <v>1522.13</v>
      </c>
      <c r="P10" s="40">
        <f>O10-O8</f>
        <v>2.2300000000000182</v>
      </c>
      <c r="Q10" s="40" t="s">
        <v>189</v>
      </c>
      <c r="S10" s="42"/>
      <c r="T10" s="42"/>
      <c r="U10" s="42"/>
      <c r="V10" s="42"/>
      <c r="W10" s="42"/>
    </row>
    <row r="11" spans="1:23" x14ac:dyDescent="0.25">
      <c r="B11" s="38"/>
      <c r="C11" s="38"/>
      <c r="D11" s="38"/>
      <c r="E11" s="38"/>
      <c r="F11" s="38" t="s">
        <v>179</v>
      </c>
      <c r="G11" s="39">
        <v>0.43124999999999997</v>
      </c>
      <c r="H11" s="38">
        <v>1521.49</v>
      </c>
      <c r="I11" s="38"/>
      <c r="J11" s="38" t="s">
        <v>182</v>
      </c>
      <c r="M11" s="40"/>
      <c r="N11" s="40"/>
      <c r="O11" s="40"/>
      <c r="P11" s="40"/>
      <c r="Q11" s="40"/>
      <c r="S11" s="42" t="s">
        <v>179</v>
      </c>
      <c r="T11" s="43">
        <v>0.43124999999999997</v>
      </c>
      <c r="U11" s="42">
        <v>1521.49</v>
      </c>
      <c r="V11" s="42">
        <f>U11-U9</f>
        <v>-0.83999999999991815</v>
      </c>
      <c r="W11" s="42" t="s">
        <v>193</v>
      </c>
    </row>
    <row r="12" spans="1:23" x14ac:dyDescent="0.25">
      <c r="B12" s="38" t="s">
        <v>178</v>
      </c>
      <c r="C12" s="39">
        <v>0.45833333333333331</v>
      </c>
      <c r="D12" s="38">
        <v>1515.61</v>
      </c>
      <c r="E12" s="38">
        <f>H11-D12</f>
        <v>5.8800000000001091</v>
      </c>
      <c r="F12" s="38"/>
      <c r="G12" s="38"/>
      <c r="H12" s="38"/>
      <c r="I12" s="38"/>
      <c r="J12" s="38" t="s">
        <v>184</v>
      </c>
      <c r="M12" s="40" t="s">
        <v>178</v>
      </c>
      <c r="N12" s="41">
        <v>0.45833333333333331</v>
      </c>
      <c r="O12" s="40">
        <v>1515.61</v>
      </c>
      <c r="P12" s="40">
        <f>O10-O12</f>
        <v>6.5200000000002092</v>
      </c>
      <c r="Q12" s="40" t="s">
        <v>190</v>
      </c>
      <c r="S12" s="42"/>
      <c r="T12" s="42"/>
      <c r="U12" s="42"/>
      <c r="V12" s="42"/>
      <c r="W12" s="42"/>
    </row>
    <row r="13" spans="1:23" x14ac:dyDescent="0.25">
      <c r="B13" s="38"/>
      <c r="C13" s="38"/>
      <c r="D13" s="38"/>
      <c r="E13" s="38"/>
      <c r="F13" s="38" t="s">
        <v>178</v>
      </c>
      <c r="G13" s="39">
        <v>0.45902777777777781</v>
      </c>
      <c r="H13" s="38">
        <v>1516.46</v>
      </c>
      <c r="I13" s="38"/>
      <c r="J13" s="38" t="s">
        <v>181</v>
      </c>
      <c r="M13" s="40"/>
      <c r="N13" s="40"/>
      <c r="O13" s="40"/>
      <c r="P13" s="40"/>
      <c r="Q13" s="40"/>
      <c r="S13" s="42" t="s">
        <v>178</v>
      </c>
      <c r="T13" s="43">
        <v>0.45902777777777781</v>
      </c>
      <c r="U13" s="42">
        <v>1516.46</v>
      </c>
      <c r="V13" s="42">
        <f>U11-U13</f>
        <v>5.0299999999999727</v>
      </c>
      <c r="W13" s="42" t="s">
        <v>194</v>
      </c>
    </row>
    <row r="14" spans="1:23" x14ac:dyDescent="0.25">
      <c r="B14" s="38" t="s">
        <v>179</v>
      </c>
      <c r="C14" s="39">
        <v>0.4680555555555555</v>
      </c>
      <c r="D14" s="38">
        <v>1517.66</v>
      </c>
      <c r="E14" s="38">
        <f>D14-H13</f>
        <v>1.2000000000000455</v>
      </c>
      <c r="F14" s="38"/>
      <c r="G14" s="38"/>
      <c r="H14" s="38"/>
      <c r="I14" s="38"/>
      <c r="J14" s="38" t="s">
        <v>184</v>
      </c>
      <c r="M14" s="40" t="s">
        <v>179</v>
      </c>
      <c r="N14" s="41">
        <v>0.4680555555555555</v>
      </c>
      <c r="O14" s="40">
        <v>1517.66</v>
      </c>
      <c r="P14" s="40">
        <f>O14-O12</f>
        <v>2.0500000000001819</v>
      </c>
      <c r="Q14" s="40" t="s">
        <v>193</v>
      </c>
      <c r="S14" s="42"/>
      <c r="T14" s="42"/>
      <c r="U14" s="42"/>
      <c r="V14" s="42"/>
      <c r="W14" s="42"/>
    </row>
    <row r="15" spans="1:23" x14ac:dyDescent="0.25">
      <c r="B15" s="38"/>
      <c r="C15" s="38"/>
      <c r="D15" s="38"/>
      <c r="E15" s="38"/>
      <c r="F15" s="38" t="s">
        <v>179</v>
      </c>
      <c r="G15" s="39">
        <v>0.47013888888888888</v>
      </c>
      <c r="H15" s="38">
        <v>1517.44</v>
      </c>
      <c r="I15" s="38"/>
      <c r="J15" s="38" t="s">
        <v>182</v>
      </c>
      <c r="M15" s="40"/>
      <c r="N15" s="40"/>
      <c r="O15" s="40"/>
      <c r="P15" s="40"/>
      <c r="Q15" s="40"/>
      <c r="S15" s="42" t="s">
        <v>179</v>
      </c>
      <c r="T15" s="43">
        <v>0.47013888888888888</v>
      </c>
      <c r="U15" s="42">
        <v>1517.44</v>
      </c>
      <c r="V15" s="42">
        <f>U15-U13</f>
        <v>0.98000000000001819</v>
      </c>
      <c r="W15" s="42" t="s">
        <v>193</v>
      </c>
    </row>
    <row r="16" spans="1:23" x14ac:dyDescent="0.25">
      <c r="B16" s="38"/>
      <c r="C16" s="38"/>
      <c r="D16" s="38"/>
      <c r="E16" s="38"/>
      <c r="F16" s="38"/>
      <c r="G16" s="38"/>
      <c r="H16" s="38"/>
      <c r="I16" s="38"/>
      <c r="J16" s="38"/>
      <c r="M16" s="40"/>
      <c r="N16" s="40"/>
      <c r="O16" s="40"/>
      <c r="P16" s="40"/>
      <c r="Q16" s="40"/>
      <c r="S16" s="42"/>
      <c r="T16" s="42"/>
      <c r="U16" s="42"/>
      <c r="V16" s="42"/>
      <c r="W16" s="42"/>
    </row>
    <row r="17" spans="1:23" x14ac:dyDescent="0.25">
      <c r="B17" s="38"/>
      <c r="C17" s="38"/>
      <c r="D17" s="38"/>
      <c r="E17" s="38"/>
      <c r="F17" s="38" t="s">
        <v>178</v>
      </c>
      <c r="G17" s="39">
        <v>0.4777777777777778</v>
      </c>
      <c r="H17" s="38">
        <v>1518.49</v>
      </c>
      <c r="I17" s="38">
        <f>H15-H17</f>
        <v>-1.0499999999999545</v>
      </c>
      <c r="M17" s="40"/>
      <c r="N17" s="40"/>
      <c r="O17" s="40"/>
      <c r="P17" s="40"/>
      <c r="Q17" s="40"/>
      <c r="S17" s="42" t="s">
        <v>178</v>
      </c>
      <c r="T17" s="43">
        <v>0.4777777777777778</v>
      </c>
      <c r="U17" s="42">
        <v>1518.49</v>
      </c>
      <c r="V17" s="42">
        <f>U15-U17</f>
        <v>-1.0499999999999545</v>
      </c>
      <c r="W17" s="42" t="s">
        <v>194</v>
      </c>
    </row>
    <row r="18" spans="1:23" x14ac:dyDescent="0.25">
      <c r="B18" s="38" t="s">
        <v>178</v>
      </c>
      <c r="C18" s="39">
        <v>0.4861111111111111</v>
      </c>
      <c r="D18" s="38">
        <v>1517.66</v>
      </c>
      <c r="E18" s="38"/>
      <c r="F18" s="38"/>
      <c r="G18" s="38"/>
      <c r="H18" s="38"/>
      <c r="I18" s="38"/>
      <c r="J18" s="38" t="s">
        <v>181</v>
      </c>
      <c r="M18" s="40" t="s">
        <v>178</v>
      </c>
      <c r="N18" s="41">
        <v>0.4861111111111111</v>
      </c>
      <c r="O18" s="40">
        <v>1517.66</v>
      </c>
      <c r="P18" s="40">
        <f>O14-O18</f>
        <v>0</v>
      </c>
      <c r="Q18" s="40" t="s">
        <v>194</v>
      </c>
      <c r="S18" s="42"/>
      <c r="T18" s="42"/>
      <c r="U18" s="42"/>
      <c r="V18" s="42"/>
      <c r="W18" s="42"/>
    </row>
    <row r="19" spans="1:23" x14ac:dyDescent="0.25">
      <c r="B19" s="38"/>
      <c r="C19" s="38"/>
      <c r="D19" s="38"/>
      <c r="E19" s="38"/>
      <c r="F19" s="38"/>
      <c r="G19" s="38"/>
      <c r="H19" s="38"/>
      <c r="I19" s="38"/>
      <c r="J19" s="38"/>
      <c r="M19" s="40"/>
      <c r="N19" s="40"/>
      <c r="O19" s="40"/>
      <c r="P19" s="40"/>
      <c r="Q19" s="40"/>
      <c r="S19" s="42"/>
      <c r="T19" s="42"/>
      <c r="U19" s="42"/>
      <c r="V19" s="42"/>
      <c r="W19" s="42"/>
    </row>
    <row r="20" spans="1:23" x14ac:dyDescent="0.25">
      <c r="B20" s="38" t="s">
        <v>179</v>
      </c>
      <c r="C20" s="39">
        <v>0.60138888888888886</v>
      </c>
      <c r="D20" s="38">
        <v>1525.12</v>
      </c>
      <c r="E20" s="38">
        <f>D20-D18</f>
        <v>7.459999999999809</v>
      </c>
      <c r="F20" s="38"/>
      <c r="G20" s="38"/>
      <c r="H20" s="38"/>
      <c r="I20" s="38"/>
      <c r="J20" s="38"/>
      <c r="M20" s="40" t="s">
        <v>179</v>
      </c>
      <c r="N20" s="41">
        <v>0.60138888888888886</v>
      </c>
      <c r="O20" s="40">
        <v>1525.12</v>
      </c>
      <c r="P20" s="40">
        <f>O20-O18</f>
        <v>7.459999999999809</v>
      </c>
      <c r="Q20" s="40"/>
      <c r="S20" s="42"/>
      <c r="T20" s="42"/>
      <c r="U20" s="42"/>
      <c r="V20" s="42"/>
      <c r="W20" s="42"/>
    </row>
    <row r="21" spans="1:23" x14ac:dyDescent="0.25">
      <c r="B21" s="38"/>
      <c r="C21" s="38"/>
      <c r="D21" s="38"/>
      <c r="E21" s="38"/>
      <c r="F21" s="38" t="s">
        <v>179</v>
      </c>
      <c r="G21" s="39">
        <v>0.6020833333333333</v>
      </c>
      <c r="H21" s="38">
        <v>1525.27</v>
      </c>
      <c r="I21" s="38"/>
      <c r="J21" s="38" t="s">
        <v>182</v>
      </c>
      <c r="M21" s="40"/>
      <c r="N21" s="40"/>
      <c r="O21" s="40"/>
      <c r="P21" s="40">
        <f>SUM(P8:P20)</f>
        <v>18.260000000000218</v>
      </c>
      <c r="Q21" s="40"/>
      <c r="S21" s="42" t="s">
        <v>179</v>
      </c>
      <c r="T21" s="43">
        <v>0.6020833333333333</v>
      </c>
      <c r="U21" s="42">
        <v>1525.27</v>
      </c>
      <c r="V21" s="42">
        <f>U21-U17</f>
        <v>6.7799999999999727</v>
      </c>
      <c r="W21" s="42" t="s">
        <v>193</v>
      </c>
    </row>
    <row r="22" spans="1:23" x14ac:dyDescent="0.25">
      <c r="B22" s="38"/>
      <c r="C22" s="38"/>
      <c r="D22" s="38"/>
      <c r="E22" s="38"/>
      <c r="F22" s="38"/>
      <c r="G22" s="38"/>
      <c r="H22" s="38"/>
      <c r="I22" s="38"/>
      <c r="J22" s="38"/>
      <c r="M22" s="40"/>
      <c r="N22" s="40"/>
      <c r="O22" s="40"/>
      <c r="P22" s="40"/>
      <c r="Q22" s="40"/>
      <c r="S22" s="42"/>
      <c r="T22" s="42"/>
      <c r="U22" s="42"/>
      <c r="V22" s="42"/>
      <c r="W22" s="42"/>
    </row>
    <row r="23" spans="1:23" x14ac:dyDescent="0.25">
      <c r="B23" s="38"/>
      <c r="C23" s="38"/>
      <c r="D23" s="38"/>
      <c r="E23" s="38"/>
      <c r="F23" s="38" t="s">
        <v>185</v>
      </c>
      <c r="G23" s="39">
        <v>0.60625000000000007</v>
      </c>
      <c r="H23" s="38">
        <v>1526.45</v>
      </c>
      <c r="I23" s="38">
        <f>H21-H23</f>
        <v>-1.1800000000000637</v>
      </c>
      <c r="S23" s="42" t="s">
        <v>185</v>
      </c>
      <c r="T23" s="43">
        <v>0.60625000000000007</v>
      </c>
      <c r="U23" s="42">
        <v>1526.45</v>
      </c>
      <c r="V23" s="42">
        <f>U21-U23</f>
        <v>-1.1800000000000637</v>
      </c>
      <c r="W23" s="42"/>
    </row>
    <row r="24" spans="1:23" x14ac:dyDescent="0.25">
      <c r="E24">
        <f>SUM(E12:E23)</f>
        <v>14.539999999999964</v>
      </c>
      <c r="I24">
        <f>SUM(I10:I23)</f>
        <v>-2.4299999999998363</v>
      </c>
      <c r="S24" s="42"/>
      <c r="T24" s="42"/>
      <c r="U24" s="42"/>
      <c r="V24" s="42">
        <f>SUM(V7:V23)</f>
        <v>8.6700000000000728</v>
      </c>
      <c r="W24" s="42"/>
    </row>
    <row r="28" spans="1:23" x14ac:dyDescent="0.25">
      <c r="A28" t="s">
        <v>187</v>
      </c>
    </row>
    <row r="30" spans="1:23" x14ac:dyDescent="0.25">
      <c r="B30" s="38"/>
      <c r="C30" s="38" t="s">
        <v>175</v>
      </c>
      <c r="D30" s="38"/>
      <c r="E30" s="38"/>
      <c r="F30" s="38"/>
      <c r="G30" s="38" t="s">
        <v>174</v>
      </c>
      <c r="H30" s="38"/>
      <c r="I30" s="38"/>
      <c r="J30" s="38" t="s">
        <v>180</v>
      </c>
      <c r="L30" s="44"/>
      <c r="M30" s="44" t="s">
        <v>175</v>
      </c>
      <c r="N30" s="44"/>
      <c r="O30" s="44"/>
      <c r="P30" s="44" t="s">
        <v>180</v>
      </c>
      <c r="R30" s="42"/>
      <c r="S30" s="42" t="s">
        <v>174</v>
      </c>
      <c r="T30" s="42"/>
      <c r="U30" s="42"/>
      <c r="V30" s="42" t="s">
        <v>180</v>
      </c>
    </row>
    <row r="31" spans="1:23" x14ac:dyDescent="0.25">
      <c r="B31" s="38" t="s">
        <v>139</v>
      </c>
      <c r="C31" s="38" t="s">
        <v>176</v>
      </c>
      <c r="D31" s="38" t="s">
        <v>177</v>
      </c>
      <c r="E31" s="38"/>
      <c r="F31" s="38" t="s">
        <v>139</v>
      </c>
      <c r="G31" s="38" t="s">
        <v>176</v>
      </c>
      <c r="H31" s="38" t="s">
        <v>177</v>
      </c>
      <c r="I31" s="38"/>
      <c r="J31" s="38"/>
      <c r="L31" s="44" t="s">
        <v>139</v>
      </c>
      <c r="M31" s="44" t="s">
        <v>176</v>
      </c>
      <c r="N31" s="44" t="s">
        <v>177</v>
      </c>
      <c r="O31" s="44"/>
      <c r="P31" s="44"/>
      <c r="R31" s="42" t="s">
        <v>139</v>
      </c>
      <c r="S31" s="42" t="s">
        <v>176</v>
      </c>
      <c r="T31" s="42" t="s">
        <v>177</v>
      </c>
      <c r="U31" s="42"/>
      <c r="V31" s="42"/>
    </row>
    <row r="32" spans="1:23" x14ac:dyDescent="0.25">
      <c r="B32" s="38"/>
      <c r="C32" s="38"/>
      <c r="D32" s="38"/>
      <c r="E32" s="38"/>
      <c r="F32" s="38" t="s">
        <v>179</v>
      </c>
      <c r="G32" s="39">
        <v>0.40277777777777773</v>
      </c>
      <c r="H32" s="38">
        <v>1505.27</v>
      </c>
      <c r="I32" s="38"/>
      <c r="J32" s="38"/>
      <c r="L32" s="44"/>
      <c r="M32" s="44"/>
      <c r="N32" s="44"/>
      <c r="O32" s="44"/>
      <c r="P32" s="44"/>
      <c r="Q32" s="23"/>
      <c r="R32" s="42" t="s">
        <v>179</v>
      </c>
      <c r="S32" s="43">
        <v>0.40277777777777773</v>
      </c>
      <c r="T32" s="42">
        <v>1505.27</v>
      </c>
      <c r="U32" s="42"/>
      <c r="V32" s="42" t="s">
        <v>182</v>
      </c>
    </row>
    <row r="33" spans="2:22" x14ac:dyDescent="0.25">
      <c r="B33" s="38"/>
      <c r="C33" s="38"/>
      <c r="D33" s="38"/>
      <c r="E33" s="38"/>
      <c r="F33" s="38" t="s">
        <v>178</v>
      </c>
      <c r="G33" s="39">
        <v>0.40625</v>
      </c>
      <c r="H33" s="38">
        <v>1500.44</v>
      </c>
      <c r="I33" s="38"/>
      <c r="J33" s="38"/>
      <c r="L33" s="44"/>
      <c r="M33" s="44"/>
      <c r="N33" s="44"/>
      <c r="O33" s="44"/>
      <c r="P33" s="44"/>
      <c r="Q33" s="23"/>
      <c r="R33" s="42" t="s">
        <v>178</v>
      </c>
      <c r="S33" s="43">
        <v>0.40625</v>
      </c>
      <c r="T33" s="42">
        <v>1500.44</v>
      </c>
      <c r="U33" s="42">
        <f>T32-T33</f>
        <v>4.8299999999999272</v>
      </c>
      <c r="V33" s="42" t="s">
        <v>190</v>
      </c>
    </row>
    <row r="34" spans="2:22" x14ac:dyDescent="0.25">
      <c r="B34" s="38" t="s">
        <v>178</v>
      </c>
      <c r="C34" s="39">
        <v>0.40625</v>
      </c>
      <c r="D34" s="38">
        <v>1499.54</v>
      </c>
      <c r="E34" s="38"/>
      <c r="F34" s="38"/>
      <c r="G34" s="38"/>
      <c r="H34" s="38"/>
      <c r="I34" s="38"/>
      <c r="J34" s="38" t="s">
        <v>181</v>
      </c>
      <c r="L34" s="44" t="s">
        <v>178</v>
      </c>
      <c r="M34" s="45">
        <v>0.40625</v>
      </c>
      <c r="N34" s="44">
        <v>1499.54</v>
      </c>
      <c r="O34" s="44"/>
      <c r="P34" s="44" t="s">
        <v>181</v>
      </c>
      <c r="R34" s="42"/>
      <c r="S34" s="42"/>
      <c r="T34" s="42"/>
      <c r="U34" s="42"/>
      <c r="V34" s="42"/>
    </row>
    <row r="35" spans="2:22" x14ac:dyDescent="0.25">
      <c r="B35" s="38" t="s">
        <v>179</v>
      </c>
      <c r="C35" s="39">
        <v>0.40833333333333338</v>
      </c>
      <c r="D35" s="38">
        <v>1500.47</v>
      </c>
      <c r="E35" s="38">
        <f>D35-H33</f>
        <v>2.9999999999972715E-2</v>
      </c>
      <c r="F35" s="38"/>
      <c r="G35" s="38"/>
      <c r="H35" s="38"/>
      <c r="I35" s="38"/>
      <c r="J35" s="38"/>
      <c r="L35" s="44" t="s">
        <v>179</v>
      </c>
      <c r="M35" s="45">
        <v>0.40833333333333338</v>
      </c>
      <c r="N35" s="44">
        <v>1500.47</v>
      </c>
      <c r="O35" s="44">
        <f>N34-N35</f>
        <v>-0.93000000000006366</v>
      </c>
      <c r="P35" s="44" t="s">
        <v>189</v>
      </c>
      <c r="R35" s="42"/>
      <c r="S35" s="42"/>
      <c r="T35" s="42"/>
      <c r="U35" s="42"/>
      <c r="V35" s="42"/>
    </row>
    <row r="36" spans="2:22" x14ac:dyDescent="0.25">
      <c r="B36" s="38"/>
      <c r="C36" s="38"/>
      <c r="D36" s="38"/>
      <c r="E36" s="38"/>
      <c r="F36" s="39" t="s">
        <v>179</v>
      </c>
      <c r="G36" s="39">
        <v>0.40902777777777777</v>
      </c>
      <c r="H36" s="38">
        <v>1500.31</v>
      </c>
      <c r="I36" s="38"/>
      <c r="J36" s="38" t="s">
        <v>182</v>
      </c>
      <c r="L36" s="44"/>
      <c r="M36" s="44"/>
      <c r="N36" s="44"/>
      <c r="O36" s="44"/>
      <c r="P36" s="44"/>
      <c r="Q36" s="23"/>
      <c r="R36" s="43" t="s">
        <v>179</v>
      </c>
      <c r="S36" s="43">
        <v>0.40902777777777777</v>
      </c>
      <c r="T36" s="42">
        <v>1500.31</v>
      </c>
      <c r="U36" s="42">
        <f>T36-T33</f>
        <v>-0.13000000000010914</v>
      </c>
      <c r="V36" s="42" t="s">
        <v>189</v>
      </c>
    </row>
    <row r="37" spans="2:22" x14ac:dyDescent="0.25">
      <c r="B37" s="38" t="s">
        <v>178</v>
      </c>
      <c r="C37" s="39">
        <v>0.41111111111111115</v>
      </c>
      <c r="D37" s="38">
        <v>1501.71</v>
      </c>
      <c r="E37" s="38">
        <f>H36-D37</f>
        <v>-1.4000000000000909</v>
      </c>
      <c r="F37" s="38"/>
      <c r="G37" s="38"/>
      <c r="H37" s="38"/>
      <c r="I37" s="38"/>
      <c r="J37" s="38"/>
      <c r="L37" s="44" t="s">
        <v>178</v>
      </c>
      <c r="M37" s="45">
        <v>0.41111111111111115</v>
      </c>
      <c r="N37" s="44">
        <v>1501.71</v>
      </c>
      <c r="O37" s="44">
        <f>N37-N35</f>
        <v>1.2400000000000091</v>
      </c>
      <c r="P37" s="44" t="s">
        <v>190</v>
      </c>
      <c r="R37" s="42"/>
      <c r="S37" s="42"/>
      <c r="T37" s="42"/>
      <c r="U37" s="42"/>
      <c r="V37" s="42"/>
    </row>
    <row r="38" spans="2:22" x14ac:dyDescent="0.25">
      <c r="B38" s="38"/>
      <c r="C38" s="38"/>
      <c r="D38" s="38"/>
      <c r="E38" s="38"/>
      <c r="F38" s="38" t="s">
        <v>178</v>
      </c>
      <c r="G38" s="39">
        <v>0.41319444444444442</v>
      </c>
      <c r="H38" s="38">
        <v>1504.22</v>
      </c>
      <c r="I38" s="38"/>
      <c r="J38" s="38" t="s">
        <v>181</v>
      </c>
      <c r="L38" s="44"/>
      <c r="M38" s="44"/>
      <c r="N38" s="44"/>
      <c r="O38" s="44"/>
      <c r="P38" s="44"/>
      <c r="Q38" s="23"/>
      <c r="R38" s="42" t="s">
        <v>178</v>
      </c>
      <c r="S38" s="43">
        <v>0.41319444444444442</v>
      </c>
      <c r="T38" s="42">
        <v>1504.22</v>
      </c>
      <c r="U38" s="42">
        <f>T38-T36</f>
        <v>3.9100000000000819</v>
      </c>
      <c r="V38" s="42" t="s">
        <v>190</v>
      </c>
    </row>
    <row r="39" spans="2:22" x14ac:dyDescent="0.25">
      <c r="B39" s="38"/>
      <c r="C39" s="39"/>
      <c r="D39" s="38"/>
      <c r="E39" s="38"/>
      <c r="F39" s="38" t="s">
        <v>179</v>
      </c>
      <c r="G39" s="39">
        <v>0.41875000000000001</v>
      </c>
      <c r="H39" s="38">
        <v>1508.41</v>
      </c>
      <c r="I39" s="38">
        <f>H39-H38</f>
        <v>4.1900000000000546</v>
      </c>
      <c r="J39" s="38"/>
      <c r="L39" s="44"/>
      <c r="M39" s="45"/>
      <c r="N39" s="44"/>
      <c r="O39" s="44"/>
      <c r="P39" s="44"/>
      <c r="Q39" s="23"/>
      <c r="R39" s="42" t="s">
        <v>179</v>
      </c>
      <c r="S39" s="43">
        <v>0.41875000000000001</v>
      </c>
      <c r="T39" s="42">
        <v>1508.41</v>
      </c>
      <c r="U39" s="42">
        <f>T39-T38</f>
        <v>4.1900000000000546</v>
      </c>
      <c r="V39" s="42" t="s">
        <v>189</v>
      </c>
    </row>
    <row r="40" spans="2:22" x14ac:dyDescent="0.25">
      <c r="B40" s="38" t="s">
        <v>178</v>
      </c>
      <c r="C40" s="39">
        <v>0.42291666666666666</v>
      </c>
      <c r="D40" s="38">
        <v>1508.52</v>
      </c>
      <c r="E40" s="38"/>
      <c r="F40" s="38"/>
      <c r="G40" s="39"/>
      <c r="H40" s="38"/>
      <c r="I40" s="38"/>
      <c r="J40" s="38"/>
      <c r="L40" s="44" t="s">
        <v>178</v>
      </c>
      <c r="M40" s="45">
        <v>0.42291666666666666</v>
      </c>
      <c r="N40" s="44">
        <v>1508.52</v>
      </c>
      <c r="O40" s="44"/>
      <c r="P40" s="44" t="s">
        <v>191</v>
      </c>
      <c r="Q40" s="23"/>
      <c r="R40" s="42"/>
      <c r="S40" s="43"/>
      <c r="T40" s="42"/>
      <c r="U40" s="42"/>
      <c r="V40" s="42"/>
    </row>
    <row r="41" spans="2:22" x14ac:dyDescent="0.25">
      <c r="B41" s="38"/>
      <c r="C41" s="38"/>
      <c r="D41" s="38"/>
      <c r="E41" s="38"/>
      <c r="F41" s="38" t="s">
        <v>178</v>
      </c>
      <c r="G41" s="39">
        <v>0.42569444444444443</v>
      </c>
      <c r="H41" s="38">
        <v>1507.26</v>
      </c>
      <c r="I41" s="38"/>
      <c r="J41" s="38" t="s">
        <v>181</v>
      </c>
      <c r="L41" s="44"/>
      <c r="M41" s="44"/>
      <c r="N41" s="44"/>
      <c r="O41" s="44"/>
      <c r="P41" s="44"/>
      <c r="Q41" s="23"/>
      <c r="R41" s="42" t="s">
        <v>178</v>
      </c>
      <c r="S41" s="43">
        <v>0.42569444444444443</v>
      </c>
      <c r="T41" s="42">
        <v>1507.26</v>
      </c>
      <c r="U41" s="42">
        <f>T39-T41</f>
        <v>1.1500000000000909</v>
      </c>
      <c r="V41" s="42" t="s">
        <v>190</v>
      </c>
    </row>
    <row r="42" spans="2:22" x14ac:dyDescent="0.25">
      <c r="B42" s="38" t="s">
        <v>179</v>
      </c>
      <c r="C42" s="39">
        <v>0.43124999999999997</v>
      </c>
      <c r="D42" s="38">
        <v>1506.97</v>
      </c>
      <c r="E42" s="38">
        <f>D42-H41</f>
        <v>-0.28999999999996362</v>
      </c>
      <c r="F42" s="38"/>
      <c r="G42" s="39"/>
      <c r="H42" s="38"/>
      <c r="I42" s="38"/>
      <c r="J42" s="38"/>
      <c r="L42" s="44" t="s">
        <v>179</v>
      </c>
      <c r="M42" s="45">
        <v>0.43124999999999997</v>
      </c>
      <c r="N42" s="44">
        <v>1506.97</v>
      </c>
      <c r="O42" s="44">
        <f>N42-N37</f>
        <v>5.2599999999999909</v>
      </c>
      <c r="P42" s="44" t="s">
        <v>189</v>
      </c>
      <c r="Q42" s="23"/>
      <c r="R42" s="42"/>
      <c r="S42" s="43"/>
      <c r="T42" s="42"/>
      <c r="U42" s="42"/>
      <c r="V42" s="42"/>
    </row>
    <row r="43" spans="2:22" x14ac:dyDescent="0.25">
      <c r="B43" s="38"/>
      <c r="C43" s="39"/>
      <c r="D43" s="38"/>
      <c r="E43" s="38"/>
      <c r="F43" s="38" t="s">
        <v>178</v>
      </c>
      <c r="G43" s="39">
        <v>0.43263888888888885</v>
      </c>
      <c r="H43" s="38">
        <v>1508.41</v>
      </c>
      <c r="I43" s="38"/>
      <c r="J43" s="38"/>
      <c r="L43" s="44"/>
      <c r="M43" s="45"/>
      <c r="N43" s="44"/>
      <c r="O43" s="44"/>
      <c r="P43" s="44"/>
      <c r="Q43" s="23"/>
      <c r="R43" s="42" t="s">
        <v>178</v>
      </c>
      <c r="S43" s="43">
        <v>0.43263888888888885</v>
      </c>
      <c r="T43" s="42">
        <v>1508.41</v>
      </c>
      <c r="U43" s="42"/>
      <c r="V43" s="42" t="s">
        <v>192</v>
      </c>
    </row>
    <row r="44" spans="2:22" x14ac:dyDescent="0.25">
      <c r="B44" s="38"/>
      <c r="C44" s="38"/>
      <c r="D44" s="38"/>
      <c r="E44" s="38"/>
      <c r="F44" s="38" t="s">
        <v>179</v>
      </c>
      <c r="G44" s="39">
        <v>0.4458333333333333</v>
      </c>
      <c r="H44" s="38">
        <v>1512.42</v>
      </c>
      <c r="I44" s="38"/>
      <c r="J44" s="38"/>
      <c r="L44" s="44"/>
      <c r="M44" s="44"/>
      <c r="N44" s="44"/>
      <c r="O44" s="44"/>
      <c r="P44" s="44"/>
      <c r="Q44" s="23"/>
      <c r="R44" s="42" t="s">
        <v>179</v>
      </c>
      <c r="S44" s="43">
        <v>0.4458333333333333</v>
      </c>
      <c r="T44" s="42">
        <v>1512.42</v>
      </c>
      <c r="U44" s="42">
        <f>T44-T41</f>
        <v>5.1600000000000819</v>
      </c>
      <c r="V44" s="42" t="s">
        <v>189</v>
      </c>
    </row>
    <row r="45" spans="2:22" x14ac:dyDescent="0.25">
      <c r="B45" s="38" t="s">
        <v>179</v>
      </c>
      <c r="C45" s="39">
        <v>0.4458333333333333</v>
      </c>
      <c r="D45" s="38">
        <v>1512.55</v>
      </c>
      <c r="E45" s="38"/>
      <c r="F45" s="38"/>
      <c r="G45" s="38"/>
      <c r="H45" s="38"/>
      <c r="I45" s="38"/>
      <c r="J45" s="38" t="s">
        <v>182</v>
      </c>
      <c r="L45" s="44" t="s">
        <v>179</v>
      </c>
      <c r="M45" s="45">
        <v>0.4458333333333333</v>
      </c>
      <c r="N45" s="44">
        <v>1512.55</v>
      </c>
      <c r="O45" s="44"/>
      <c r="P45" s="44" t="s">
        <v>191</v>
      </c>
      <c r="R45" s="42"/>
      <c r="S45" s="42"/>
      <c r="T45" s="42"/>
      <c r="U45" s="42"/>
      <c r="V45" s="42"/>
    </row>
    <row r="46" spans="2:22" x14ac:dyDescent="0.25">
      <c r="B46" s="38" t="s">
        <v>178</v>
      </c>
      <c r="C46" s="39">
        <v>0.45902777777777781</v>
      </c>
      <c r="D46" s="38">
        <v>1507.59</v>
      </c>
      <c r="E46" s="38">
        <f>D45-D46</f>
        <v>4.9600000000000364</v>
      </c>
      <c r="F46" s="38"/>
      <c r="G46" s="39"/>
      <c r="H46" s="38"/>
      <c r="I46" s="38"/>
      <c r="J46" s="38"/>
      <c r="L46" s="44" t="s">
        <v>178</v>
      </c>
      <c r="M46" s="45">
        <v>0.45902777777777781</v>
      </c>
      <c r="N46" s="44">
        <v>1507.59</v>
      </c>
      <c r="O46" s="44">
        <f>N42-N46</f>
        <v>-0.61999999999989086</v>
      </c>
      <c r="P46" s="44" t="s">
        <v>190</v>
      </c>
      <c r="Q46" s="23"/>
      <c r="R46" s="42"/>
      <c r="S46" s="43"/>
      <c r="T46" s="42"/>
      <c r="U46" s="42"/>
      <c r="V46" s="42"/>
    </row>
    <row r="47" spans="2:22" x14ac:dyDescent="0.25">
      <c r="B47" s="38"/>
      <c r="C47" s="38"/>
      <c r="D47" s="38"/>
      <c r="E47" s="38"/>
      <c r="F47" s="38" t="s">
        <v>178</v>
      </c>
      <c r="G47" s="39">
        <v>0.45902777777777781</v>
      </c>
      <c r="H47" s="38">
        <v>1508.41</v>
      </c>
      <c r="I47" s="38"/>
      <c r="J47" s="38" t="s">
        <v>181</v>
      </c>
      <c r="L47" s="44"/>
      <c r="M47" s="44"/>
      <c r="N47" s="44"/>
      <c r="O47" s="44"/>
      <c r="P47" s="44"/>
      <c r="Q47" s="23"/>
      <c r="R47" s="42" t="s">
        <v>178</v>
      </c>
      <c r="S47" s="43">
        <v>0.45902777777777781</v>
      </c>
      <c r="T47" s="42">
        <v>1508.41</v>
      </c>
      <c r="U47" s="42">
        <f>T44-T47</f>
        <v>4.0099999999999909</v>
      </c>
      <c r="V47" s="42" t="s">
        <v>190</v>
      </c>
    </row>
    <row r="48" spans="2:22" x14ac:dyDescent="0.25">
      <c r="B48" s="38" t="s">
        <v>179</v>
      </c>
      <c r="C48" s="39">
        <v>0.47916666666666669</v>
      </c>
      <c r="D48" s="38">
        <v>1512.24</v>
      </c>
      <c r="E48" s="38">
        <f>D48-H47</f>
        <v>3.8299999999999272</v>
      </c>
      <c r="F48" s="38"/>
      <c r="G48" s="39"/>
      <c r="H48" s="38"/>
      <c r="I48" s="38"/>
      <c r="J48" s="38"/>
      <c r="L48" s="44" t="s">
        <v>179</v>
      </c>
      <c r="M48" s="45">
        <v>0.47916666666666669</v>
      </c>
      <c r="N48" s="44">
        <v>1512.24</v>
      </c>
      <c r="O48" s="44">
        <f>N48-N46</f>
        <v>4.6500000000000909</v>
      </c>
      <c r="P48" s="44" t="s">
        <v>189</v>
      </c>
      <c r="Q48" s="23"/>
      <c r="R48" s="42"/>
      <c r="S48" s="43"/>
      <c r="T48" s="42"/>
      <c r="U48" s="42"/>
      <c r="V48" s="42"/>
    </row>
    <row r="49" spans="1:22" x14ac:dyDescent="0.25">
      <c r="B49" s="38"/>
      <c r="C49" s="38"/>
      <c r="D49" s="38"/>
      <c r="E49" s="38"/>
      <c r="F49" s="38" t="s">
        <v>179</v>
      </c>
      <c r="G49" s="39">
        <v>0.47986111111111113</v>
      </c>
      <c r="H49" s="38">
        <v>1512.36</v>
      </c>
      <c r="I49" s="38"/>
      <c r="J49" s="38" t="s">
        <v>182</v>
      </c>
      <c r="L49" s="44"/>
      <c r="M49" s="44"/>
      <c r="N49" s="44"/>
      <c r="O49" s="44"/>
      <c r="P49" s="44"/>
      <c r="Q49" s="23"/>
      <c r="R49" s="42" t="s">
        <v>179</v>
      </c>
      <c r="S49" s="43">
        <v>0.47986111111111113</v>
      </c>
      <c r="T49" s="42">
        <v>1512.36</v>
      </c>
      <c r="U49" s="42">
        <f>T49-T47</f>
        <v>3.9499999999998181</v>
      </c>
      <c r="V49" s="42" t="s">
        <v>189</v>
      </c>
    </row>
    <row r="50" spans="1:22" x14ac:dyDescent="0.25">
      <c r="B50" s="38" t="s">
        <v>178</v>
      </c>
      <c r="C50" s="39">
        <v>0.50069444444444444</v>
      </c>
      <c r="D50" s="38">
        <v>1508.21</v>
      </c>
      <c r="E50" s="38">
        <f>H49-D50</f>
        <v>4.1499999999998636</v>
      </c>
      <c r="F50" s="38"/>
      <c r="G50" s="38"/>
      <c r="H50" s="38"/>
      <c r="I50" s="38"/>
      <c r="J50" s="38"/>
      <c r="L50" s="44" t="s">
        <v>178</v>
      </c>
      <c r="M50" s="45">
        <v>0.50069444444444444</v>
      </c>
      <c r="N50" s="44">
        <v>1508.21</v>
      </c>
      <c r="O50" s="44">
        <f>N48-N50</f>
        <v>4.0299999999999727</v>
      </c>
      <c r="P50" s="44" t="s">
        <v>190</v>
      </c>
      <c r="R50" s="42"/>
      <c r="S50" s="42"/>
      <c r="T50" s="42"/>
      <c r="U50" s="42"/>
      <c r="V50" s="42"/>
    </row>
    <row r="51" spans="1:22" x14ac:dyDescent="0.25">
      <c r="B51" s="38"/>
      <c r="C51" s="38"/>
      <c r="D51" s="38"/>
      <c r="E51" s="38"/>
      <c r="F51" s="38" t="s">
        <v>178</v>
      </c>
      <c r="G51" s="39">
        <v>0.50069444444444444</v>
      </c>
      <c r="H51" s="38">
        <v>1508.49</v>
      </c>
      <c r="I51" s="38"/>
      <c r="J51" s="38" t="s">
        <v>181</v>
      </c>
      <c r="L51" s="44"/>
      <c r="M51" s="44"/>
      <c r="N51" s="44"/>
      <c r="O51" s="44"/>
      <c r="P51" s="44"/>
      <c r="Q51" s="23"/>
      <c r="R51" s="42" t="s">
        <v>178</v>
      </c>
      <c r="S51" s="43">
        <v>0.50069444444444444</v>
      </c>
      <c r="T51" s="42">
        <v>1508.49</v>
      </c>
      <c r="U51" s="42">
        <f>T49-T51</f>
        <v>3.8699999999998909</v>
      </c>
      <c r="V51" s="42" t="s">
        <v>190</v>
      </c>
    </row>
    <row r="52" spans="1:22" x14ac:dyDescent="0.25">
      <c r="B52" s="38" t="s">
        <v>179</v>
      </c>
      <c r="C52" s="39">
        <v>0.59444444444444444</v>
      </c>
      <c r="D52" s="38">
        <v>1525.24</v>
      </c>
      <c r="E52" s="38">
        <f>D52-H51</f>
        <v>16.75</v>
      </c>
      <c r="F52" s="38"/>
      <c r="G52" s="38"/>
      <c r="H52" s="38"/>
      <c r="I52" s="38"/>
      <c r="J52" s="38"/>
      <c r="L52" s="44" t="s">
        <v>179</v>
      </c>
      <c r="M52" s="45">
        <v>0.59444444444444444</v>
      </c>
      <c r="N52" s="44">
        <v>1525.24</v>
      </c>
      <c r="O52" s="44">
        <f>N52-N50</f>
        <v>17.029999999999973</v>
      </c>
      <c r="P52" s="44" t="s">
        <v>189</v>
      </c>
      <c r="R52" s="42"/>
      <c r="S52" s="42"/>
      <c r="T52" s="42"/>
      <c r="U52" s="42"/>
      <c r="V52" s="42"/>
    </row>
    <row r="53" spans="1:22" x14ac:dyDescent="0.25">
      <c r="B53" s="38"/>
      <c r="C53" s="38"/>
      <c r="D53" s="38"/>
      <c r="E53" s="38"/>
      <c r="F53" s="38" t="s">
        <v>179</v>
      </c>
      <c r="G53" s="39">
        <v>0.59513888888888888</v>
      </c>
      <c r="H53" s="38">
        <v>1525.51</v>
      </c>
      <c r="I53" s="38"/>
      <c r="J53" s="38" t="s">
        <v>182</v>
      </c>
      <c r="L53" s="44"/>
      <c r="M53" s="44"/>
      <c r="N53" s="44"/>
      <c r="O53" s="44"/>
      <c r="P53" s="44"/>
      <c r="Q53" s="23"/>
      <c r="R53" s="42" t="s">
        <v>179</v>
      </c>
      <c r="S53" s="43">
        <v>0.59513888888888888</v>
      </c>
      <c r="T53" s="42">
        <v>1525.51</v>
      </c>
      <c r="U53" s="42">
        <f>T53-T51</f>
        <v>17.019999999999982</v>
      </c>
      <c r="V53" s="42" t="s">
        <v>189</v>
      </c>
    </row>
    <row r="54" spans="1:22" x14ac:dyDescent="0.25">
      <c r="B54" s="38" t="s">
        <v>178</v>
      </c>
      <c r="C54" s="39">
        <v>0.62291666666666667</v>
      </c>
      <c r="D54" s="38">
        <v>1413.17</v>
      </c>
      <c r="E54" s="38"/>
      <c r="F54" s="38"/>
      <c r="G54" s="38"/>
      <c r="H54" s="38"/>
      <c r="I54" s="38"/>
      <c r="J54" s="38"/>
      <c r="L54" s="44" t="s">
        <v>178</v>
      </c>
      <c r="M54" s="45">
        <v>0.62291666666666667</v>
      </c>
      <c r="N54" s="44">
        <v>1513.17</v>
      </c>
      <c r="O54" s="44">
        <f>N52-N54</f>
        <v>12.069999999999936</v>
      </c>
      <c r="P54" s="44"/>
      <c r="R54" s="42"/>
      <c r="S54" s="42"/>
      <c r="T54" s="42"/>
      <c r="U54" s="42"/>
      <c r="V54" s="42"/>
    </row>
    <row r="55" spans="1:22" x14ac:dyDescent="0.25">
      <c r="B55" s="38"/>
      <c r="C55" s="38"/>
      <c r="D55" s="38"/>
      <c r="F55" s="38" t="s">
        <v>178</v>
      </c>
      <c r="G55" s="39">
        <v>0.62291666666666667</v>
      </c>
      <c r="H55" s="38">
        <v>1512.5</v>
      </c>
      <c r="I55" s="38"/>
      <c r="J55" s="38"/>
      <c r="L55" s="44"/>
      <c r="M55" s="44"/>
      <c r="N55" s="44"/>
      <c r="P55" s="44"/>
      <c r="Q55" s="23"/>
      <c r="R55" s="42" t="s">
        <v>178</v>
      </c>
      <c r="S55" s="43">
        <v>0.62291666666666667</v>
      </c>
      <c r="T55" s="42">
        <v>1512.5</v>
      </c>
      <c r="U55" s="42">
        <f>T53-T55</f>
        <v>13.009999999999991</v>
      </c>
      <c r="V55" s="42"/>
    </row>
    <row r="56" spans="1:22" x14ac:dyDescent="0.25">
      <c r="E56" s="38">
        <f>SUM(E35:E54)</f>
        <v>28.029999999999745</v>
      </c>
      <c r="O56" s="44">
        <f>SUM(O35:O54)</f>
        <v>42.730000000000018</v>
      </c>
      <c r="U56">
        <f>SUM(U32:U55)</f>
        <v>60.9699999999998</v>
      </c>
    </row>
    <row r="62" spans="1:22" x14ac:dyDescent="0.25">
      <c r="A62" t="s">
        <v>188</v>
      </c>
    </row>
    <row r="64" spans="1:22" x14ac:dyDescent="0.25">
      <c r="B64" s="14"/>
      <c r="C64" s="14" t="s">
        <v>175</v>
      </c>
      <c r="D64" s="14"/>
      <c r="F64" s="14"/>
      <c r="G64" s="14" t="s">
        <v>174</v>
      </c>
      <c r="H64" s="14"/>
      <c r="J64" s="14" t="s">
        <v>180</v>
      </c>
    </row>
    <row r="65" spans="2:10" x14ac:dyDescent="0.25">
      <c r="B65" s="14" t="s">
        <v>139</v>
      </c>
      <c r="C65" s="14" t="s">
        <v>176</v>
      </c>
      <c r="D65" s="14" t="s">
        <v>177</v>
      </c>
      <c r="F65" s="14" t="s">
        <v>139</v>
      </c>
      <c r="G65" s="14" t="s">
        <v>176</v>
      </c>
      <c r="H65" s="14" t="s">
        <v>177</v>
      </c>
      <c r="J65" s="14"/>
    </row>
    <row r="66" spans="2:10" x14ac:dyDescent="0.25">
      <c r="B66" s="14"/>
      <c r="C66" s="14"/>
      <c r="D66" s="14"/>
      <c r="F66" s="14"/>
      <c r="G66" s="14"/>
      <c r="H66" s="14"/>
      <c r="J66" s="14"/>
    </row>
    <row r="67" spans="2:10" x14ac:dyDescent="0.25">
      <c r="B67" s="14"/>
      <c r="C67" s="14"/>
      <c r="D67" s="14"/>
      <c r="F67" s="14"/>
      <c r="G67" s="14"/>
      <c r="H67" s="14"/>
      <c r="J67" s="14"/>
    </row>
    <row r="68" spans="2:10" x14ac:dyDescent="0.25">
      <c r="B68" s="14"/>
      <c r="C68" s="14"/>
      <c r="D68" s="14"/>
      <c r="F68" s="14"/>
      <c r="G68" s="14"/>
      <c r="H68" s="14"/>
      <c r="J68" s="14"/>
    </row>
    <row r="69" spans="2:10" x14ac:dyDescent="0.25">
      <c r="B69" s="14"/>
      <c r="C69" s="14"/>
      <c r="D69" s="14"/>
      <c r="F69" s="14"/>
      <c r="G69" s="14"/>
      <c r="H69" s="14"/>
      <c r="J69" s="14"/>
    </row>
    <row r="70" spans="2:10" x14ac:dyDescent="0.25">
      <c r="B70" s="14"/>
      <c r="C70" s="14"/>
      <c r="D70" s="14"/>
      <c r="F70" s="14"/>
      <c r="G70" s="14"/>
      <c r="H70" s="14"/>
      <c r="J70" s="14"/>
    </row>
    <row r="71" spans="2:10" x14ac:dyDescent="0.25">
      <c r="B71" s="14"/>
      <c r="C71" s="14"/>
      <c r="D71" s="14"/>
      <c r="F71" s="14"/>
      <c r="G71" s="14"/>
      <c r="H71" s="14"/>
      <c r="J71" s="14"/>
    </row>
    <row r="72" spans="2:10" x14ac:dyDescent="0.25">
      <c r="B72" s="14"/>
      <c r="C72" s="14"/>
      <c r="D72" s="14"/>
      <c r="F72" s="14"/>
      <c r="G72" s="14"/>
      <c r="H72" s="14"/>
      <c r="J72" s="14"/>
    </row>
    <row r="73" spans="2:10" x14ac:dyDescent="0.25">
      <c r="B73" s="14"/>
      <c r="C73" s="14"/>
      <c r="D73" s="14"/>
      <c r="F73" s="14"/>
      <c r="G73" s="14"/>
      <c r="H73" s="14"/>
      <c r="J73" s="14"/>
    </row>
    <row r="74" spans="2:10" x14ac:dyDescent="0.25">
      <c r="B74" s="14"/>
      <c r="C74" s="14"/>
      <c r="D74" s="14"/>
      <c r="F74" s="14"/>
      <c r="G74" s="14"/>
      <c r="H74" s="14"/>
      <c r="J74" s="14"/>
    </row>
    <row r="75" spans="2:10" x14ac:dyDescent="0.25">
      <c r="B75" s="14"/>
      <c r="C75" s="14"/>
      <c r="D75" s="14"/>
      <c r="F75" s="14"/>
      <c r="G75" s="14"/>
      <c r="H75" s="14"/>
      <c r="J75" s="14"/>
    </row>
    <row r="76" spans="2:10" x14ac:dyDescent="0.25">
      <c r="B76" s="14"/>
      <c r="C76" s="14"/>
      <c r="D76" s="14"/>
      <c r="F76" s="14"/>
      <c r="G76" s="14"/>
      <c r="H76" s="14"/>
      <c r="J76" s="14"/>
    </row>
    <row r="77" spans="2:10" x14ac:dyDescent="0.25">
      <c r="B77" s="14"/>
      <c r="C77" s="14"/>
      <c r="D77" s="14"/>
      <c r="F77" s="14"/>
      <c r="G77" s="14"/>
      <c r="H77" s="14"/>
      <c r="J77" s="14"/>
    </row>
    <row r="78" spans="2:10" x14ac:dyDescent="0.25">
      <c r="B78" s="14"/>
      <c r="C78" s="14"/>
      <c r="D78" s="14"/>
      <c r="F78" s="14"/>
      <c r="G78" s="14"/>
      <c r="H78" s="14"/>
      <c r="J78" s="14"/>
    </row>
    <row r="79" spans="2:10" x14ac:dyDescent="0.25">
      <c r="B79" s="14"/>
      <c r="C79" s="14"/>
      <c r="D79" s="14"/>
      <c r="F79" s="14"/>
      <c r="G79" s="14"/>
      <c r="H79" s="14"/>
      <c r="J79" s="14"/>
    </row>
    <row r="80" spans="2:10" x14ac:dyDescent="0.25">
      <c r="B80" s="14"/>
      <c r="C80" s="14"/>
      <c r="D80" s="14"/>
      <c r="F80" s="14"/>
      <c r="G80" s="14"/>
      <c r="H80" s="14"/>
      <c r="J80" s="14"/>
    </row>
    <row r="81" spans="2:10" x14ac:dyDescent="0.25">
      <c r="B81" s="14"/>
      <c r="C81" s="14"/>
      <c r="D81" s="14"/>
      <c r="F81" s="14"/>
      <c r="G81" s="14"/>
      <c r="H81" s="14"/>
      <c r="J81" s="14"/>
    </row>
    <row r="82" spans="2:10" x14ac:dyDescent="0.25">
      <c r="B82" s="14"/>
      <c r="C82" s="14"/>
      <c r="D82" s="14"/>
      <c r="F82" s="14"/>
      <c r="G82" s="14"/>
      <c r="H82" s="14"/>
      <c r="J82" s="14"/>
    </row>
    <row r="83" spans="2:10" x14ac:dyDescent="0.25">
      <c r="B83" s="14"/>
      <c r="C83" s="14"/>
      <c r="D83" s="14"/>
      <c r="F83" s="14"/>
      <c r="G83" s="14"/>
      <c r="H83" s="14"/>
      <c r="J83" s="14"/>
    </row>
    <row r="84" spans="2:10" x14ac:dyDescent="0.25">
      <c r="B84" s="14"/>
      <c r="C84" s="14"/>
      <c r="D84" s="14"/>
      <c r="F84" s="14"/>
      <c r="G84" s="14"/>
      <c r="H84" s="14"/>
      <c r="J84" s="14"/>
    </row>
    <row r="85" spans="2:10" x14ac:dyDescent="0.25">
      <c r="B85" s="14"/>
      <c r="C85" s="14"/>
      <c r="D85" s="14"/>
      <c r="F85" s="14"/>
      <c r="G85" s="14"/>
      <c r="H85" s="14"/>
      <c r="J85" s="14"/>
    </row>
    <row r="86" spans="2:10" x14ac:dyDescent="0.25">
      <c r="B86" s="14"/>
      <c r="C86" s="14"/>
      <c r="D86" s="14"/>
      <c r="F86" s="14"/>
      <c r="G86" s="14"/>
      <c r="H86" s="14"/>
      <c r="J86" s="14"/>
    </row>
    <row r="87" spans="2:10" x14ac:dyDescent="0.25">
      <c r="B87" s="14"/>
      <c r="C87" s="14"/>
      <c r="D87" s="14"/>
      <c r="F87" s="14"/>
      <c r="G87" s="14"/>
      <c r="H87" s="14"/>
      <c r="J87" s="14"/>
    </row>
    <row r="88" spans="2:10" x14ac:dyDescent="0.25">
      <c r="B88" s="14"/>
      <c r="C88" s="14"/>
      <c r="D88" s="14"/>
      <c r="F88" s="14"/>
      <c r="G88" s="14"/>
      <c r="H88" s="14"/>
      <c r="J88" s="14"/>
    </row>
    <row r="89" spans="2:10" x14ac:dyDescent="0.25">
      <c r="B89" s="14"/>
      <c r="C89" s="14"/>
      <c r="D89" s="14"/>
      <c r="F89" s="14"/>
      <c r="G89" s="14"/>
      <c r="H89" s="14"/>
      <c r="J89" s="14"/>
    </row>
    <row r="90" spans="2:10" x14ac:dyDescent="0.25">
      <c r="B90" s="14"/>
      <c r="C90" s="14"/>
      <c r="D90" s="14"/>
      <c r="F90" s="14"/>
      <c r="G90" s="14"/>
      <c r="H90" s="14"/>
      <c r="J90" s="14"/>
    </row>
    <row r="91" spans="2:10" x14ac:dyDescent="0.25">
      <c r="B91" s="14"/>
      <c r="C91" s="14"/>
      <c r="D91" s="14"/>
      <c r="F91" s="14"/>
      <c r="G91" s="14"/>
      <c r="H91" s="14"/>
      <c r="J91" s="14"/>
    </row>
    <row r="92" spans="2:10" x14ac:dyDescent="0.25">
      <c r="B92" s="14"/>
      <c r="C92" s="14"/>
      <c r="D92" s="14"/>
      <c r="F92" s="14"/>
      <c r="G92" s="14"/>
      <c r="H92" s="14"/>
      <c r="J92" s="14"/>
    </row>
    <row r="93" spans="2:10" x14ac:dyDescent="0.25">
      <c r="B93" s="14"/>
      <c r="C93" s="14"/>
      <c r="D93" s="14"/>
      <c r="F93" s="14"/>
      <c r="G93" s="14"/>
      <c r="H93" s="14"/>
      <c r="J93" s="14"/>
    </row>
    <row r="94" spans="2:10" x14ac:dyDescent="0.25">
      <c r="B94" s="14"/>
      <c r="C94" s="14"/>
      <c r="D94" s="14"/>
      <c r="F94" s="14"/>
      <c r="G94" s="14"/>
      <c r="H94" s="14"/>
      <c r="J94" s="14"/>
    </row>
    <row r="95" spans="2:10" x14ac:dyDescent="0.25">
      <c r="B95" s="14"/>
      <c r="C95" s="14"/>
      <c r="D95" s="14"/>
      <c r="F95" s="14"/>
      <c r="G95" s="14"/>
      <c r="H95" s="14"/>
      <c r="J95" s="14"/>
    </row>
    <row r="96" spans="2:10" x14ac:dyDescent="0.25">
      <c r="B96" s="14"/>
      <c r="C96" s="14"/>
      <c r="D96" s="14"/>
      <c r="F96" s="14"/>
      <c r="G96" s="14"/>
      <c r="H96" s="14"/>
      <c r="J96" s="14"/>
    </row>
    <row r="97" spans="2:10" x14ac:dyDescent="0.25">
      <c r="B97" s="14"/>
      <c r="C97" s="14"/>
      <c r="D97" s="14"/>
      <c r="F97" s="14"/>
      <c r="G97" s="14"/>
      <c r="H97" s="14"/>
      <c r="J97" s="14"/>
    </row>
    <row r="98" spans="2:10" x14ac:dyDescent="0.25">
      <c r="B98" s="14"/>
      <c r="C98" s="14"/>
      <c r="D98" s="14"/>
      <c r="F98" s="14"/>
      <c r="G98" s="14"/>
      <c r="H98" s="14"/>
      <c r="J98" s="14"/>
    </row>
    <row r="99" spans="2:10" x14ac:dyDescent="0.25">
      <c r="B99" s="14"/>
      <c r="C99" s="14"/>
      <c r="D99" s="14"/>
      <c r="F99" s="14"/>
      <c r="G99" s="14"/>
      <c r="H99" s="14"/>
      <c r="J99" s="14"/>
    </row>
    <row r="100" spans="2:10" x14ac:dyDescent="0.25">
      <c r="B100" s="14"/>
      <c r="C100" s="14"/>
      <c r="D100" s="14"/>
      <c r="F100" s="14"/>
      <c r="G100" s="14"/>
      <c r="H100" s="14"/>
      <c r="J100" s="14"/>
    </row>
    <row r="101" spans="2:10" x14ac:dyDescent="0.25">
      <c r="B101" s="14"/>
      <c r="C101" s="14"/>
      <c r="D101" s="14"/>
      <c r="F101" s="14"/>
      <c r="G101" s="14"/>
      <c r="H101" s="14"/>
      <c r="J101" s="14"/>
    </row>
    <row r="102" spans="2:10" x14ac:dyDescent="0.25">
      <c r="B102" s="14"/>
      <c r="C102" s="14"/>
      <c r="D102" s="14"/>
      <c r="F102" s="14"/>
      <c r="G102" s="14"/>
      <c r="H102" s="14"/>
      <c r="J102" s="14"/>
    </row>
    <row r="103" spans="2:10" x14ac:dyDescent="0.25">
      <c r="B103" s="14"/>
      <c r="C103" s="14"/>
      <c r="D103" s="14"/>
      <c r="F103" s="14"/>
      <c r="G103" s="14"/>
      <c r="H103" s="14"/>
      <c r="J103" s="14"/>
    </row>
    <row r="104" spans="2:10" x14ac:dyDescent="0.25">
      <c r="B104" s="14"/>
      <c r="C104" s="14"/>
      <c r="D104" s="14"/>
      <c r="F104" s="14"/>
      <c r="G104" s="14"/>
      <c r="H104" s="14"/>
      <c r="J104" s="14"/>
    </row>
    <row r="105" spans="2:10" x14ac:dyDescent="0.25">
      <c r="B105" s="14"/>
      <c r="C105" s="14"/>
      <c r="D105" s="14"/>
      <c r="F105" s="14"/>
      <c r="G105" s="14"/>
      <c r="H105" s="14"/>
      <c r="J105" s="14"/>
    </row>
    <row r="106" spans="2:10" x14ac:dyDescent="0.25">
      <c r="B106" s="14"/>
      <c r="C106" s="14"/>
      <c r="D106" s="14"/>
      <c r="F106" s="14"/>
      <c r="G106" s="14"/>
      <c r="H106" s="14"/>
      <c r="J106" s="14"/>
    </row>
    <row r="107" spans="2:10" x14ac:dyDescent="0.25">
      <c r="B107" s="14"/>
      <c r="C107" s="14"/>
      <c r="D107" s="14"/>
      <c r="F107" s="14"/>
      <c r="G107" s="14"/>
      <c r="H107" s="14"/>
      <c r="J107" s="14"/>
    </row>
    <row r="108" spans="2:10" x14ac:dyDescent="0.25">
      <c r="B108" s="14"/>
      <c r="C108" s="14"/>
      <c r="D108" s="14"/>
      <c r="F108" s="14"/>
      <c r="G108" s="14"/>
      <c r="H108" s="14"/>
      <c r="J108" s="14"/>
    </row>
    <row r="114" spans="1:10" x14ac:dyDescent="0.25">
      <c r="A114" t="s">
        <v>195</v>
      </c>
    </row>
    <row r="116" spans="1:10" x14ac:dyDescent="0.25">
      <c r="B116" s="14"/>
      <c r="C116" s="14" t="s">
        <v>175</v>
      </c>
      <c r="D116" s="14"/>
      <c r="F116" s="14"/>
      <c r="G116" s="14" t="s">
        <v>174</v>
      </c>
      <c r="H116" s="14"/>
      <c r="J116" s="14" t="s">
        <v>180</v>
      </c>
    </row>
    <row r="117" spans="1:10" x14ac:dyDescent="0.25">
      <c r="B117" s="14" t="s">
        <v>139</v>
      </c>
      <c r="C117" s="14" t="s">
        <v>176</v>
      </c>
      <c r="D117" s="14" t="s">
        <v>177</v>
      </c>
      <c r="F117" s="14" t="s">
        <v>139</v>
      </c>
      <c r="G117" s="14" t="s">
        <v>176</v>
      </c>
      <c r="H117" s="14" t="s">
        <v>177</v>
      </c>
      <c r="J117" s="14"/>
    </row>
    <row r="118" spans="1:10" x14ac:dyDescent="0.25">
      <c r="B118" s="14"/>
      <c r="C118" s="14"/>
      <c r="D118" s="14"/>
      <c r="F118" s="14"/>
      <c r="G118" s="14"/>
      <c r="H118" s="14"/>
      <c r="J118" s="14"/>
    </row>
    <row r="119" spans="1:10" x14ac:dyDescent="0.25">
      <c r="B119" s="14"/>
      <c r="C119" s="14"/>
      <c r="D119" s="14"/>
      <c r="F119" s="14"/>
      <c r="G119" s="14"/>
      <c r="H119" s="14"/>
      <c r="J119" s="14"/>
    </row>
    <row r="120" spans="1:10" x14ac:dyDescent="0.25">
      <c r="B120" s="14"/>
      <c r="C120" s="14"/>
      <c r="D120" s="14"/>
      <c r="F120" s="14"/>
      <c r="G120" s="14"/>
      <c r="H120" s="14"/>
      <c r="J120" s="14"/>
    </row>
    <row r="121" spans="1:10" x14ac:dyDescent="0.25">
      <c r="B121" s="14"/>
      <c r="C121" s="14"/>
      <c r="D121" s="14"/>
      <c r="F121" s="14"/>
      <c r="G121" s="14"/>
      <c r="H121" s="14"/>
      <c r="J121" s="14"/>
    </row>
    <row r="122" spans="1:10" x14ac:dyDescent="0.25">
      <c r="B122" s="14"/>
      <c r="C122" s="14"/>
      <c r="D122" s="14"/>
      <c r="F122" s="14"/>
      <c r="G122" s="14"/>
      <c r="H122" s="14"/>
      <c r="J122" s="14"/>
    </row>
    <row r="123" spans="1:10" x14ac:dyDescent="0.25">
      <c r="B123" s="14"/>
      <c r="C123" s="14"/>
      <c r="D123" s="14"/>
      <c r="F123" s="14"/>
      <c r="G123" s="14"/>
      <c r="H123" s="14"/>
      <c r="J123" s="14"/>
    </row>
    <row r="124" spans="1:10" x14ac:dyDescent="0.25">
      <c r="B124" s="14"/>
      <c r="C124" s="14"/>
      <c r="D124" s="14"/>
      <c r="F124" s="14"/>
      <c r="G124" s="14"/>
      <c r="H124" s="14"/>
      <c r="J124" s="14"/>
    </row>
    <row r="125" spans="1:10" x14ac:dyDescent="0.25">
      <c r="B125" s="14"/>
      <c r="C125" s="14"/>
      <c r="D125" s="14"/>
      <c r="F125" s="14"/>
      <c r="G125" s="14"/>
      <c r="H125" s="14"/>
      <c r="J125" s="14"/>
    </row>
    <row r="126" spans="1:10" x14ac:dyDescent="0.25">
      <c r="B126" s="14"/>
      <c r="C126" s="14"/>
      <c r="D126" s="14"/>
      <c r="F126" s="14"/>
      <c r="G126" s="14"/>
      <c r="H126" s="14"/>
      <c r="J126" s="14"/>
    </row>
    <row r="127" spans="1:10" x14ac:dyDescent="0.25">
      <c r="B127" s="14"/>
      <c r="C127" s="14"/>
      <c r="D127" s="14"/>
      <c r="F127" s="14"/>
      <c r="G127" s="14"/>
      <c r="H127" s="14"/>
      <c r="J127" s="14"/>
    </row>
    <row r="128" spans="1:10" x14ac:dyDescent="0.25">
      <c r="B128" s="14"/>
      <c r="C128" s="14"/>
      <c r="D128" s="14"/>
      <c r="F128" s="14"/>
      <c r="G128" s="14"/>
      <c r="H128" s="14"/>
      <c r="J128" s="14"/>
    </row>
    <row r="129" spans="2:10" x14ac:dyDescent="0.25">
      <c r="B129" s="14"/>
      <c r="C129" s="14"/>
      <c r="D129" s="14"/>
      <c r="F129" s="14"/>
      <c r="G129" s="14"/>
      <c r="H129" s="14"/>
      <c r="J129" s="14"/>
    </row>
    <row r="130" spans="2:10" x14ac:dyDescent="0.25">
      <c r="B130" s="14"/>
      <c r="C130" s="14"/>
      <c r="D130" s="14"/>
      <c r="F130" s="14"/>
      <c r="G130" s="14"/>
      <c r="H130" s="14"/>
      <c r="J130" s="14"/>
    </row>
    <row r="131" spans="2:10" x14ac:dyDescent="0.25">
      <c r="B131" s="14"/>
      <c r="C131" s="14"/>
      <c r="D131" s="14"/>
      <c r="F131" s="14"/>
      <c r="G131" s="14"/>
      <c r="H131" s="14"/>
      <c r="J131" s="14"/>
    </row>
    <row r="132" spans="2:10" x14ac:dyDescent="0.25">
      <c r="B132" s="14"/>
      <c r="C132" s="14"/>
      <c r="D132" s="14"/>
      <c r="F132" s="14"/>
      <c r="G132" s="14"/>
      <c r="H132" s="14"/>
      <c r="J132" s="14"/>
    </row>
    <row r="133" spans="2:10" x14ac:dyDescent="0.25">
      <c r="B133" s="14"/>
      <c r="C133" s="14"/>
      <c r="D133" s="14"/>
      <c r="F133" s="14"/>
      <c r="G133" s="14"/>
      <c r="H133" s="14"/>
      <c r="J133" s="14"/>
    </row>
    <row r="134" spans="2:10" x14ac:dyDescent="0.25">
      <c r="B134" s="14"/>
      <c r="C134" s="14"/>
      <c r="D134" s="14"/>
      <c r="F134" s="14"/>
      <c r="G134" s="14"/>
      <c r="H134" s="14"/>
      <c r="J134" s="14"/>
    </row>
    <row r="135" spans="2:10" x14ac:dyDescent="0.25">
      <c r="B135" s="14"/>
      <c r="C135" s="14"/>
      <c r="D135" s="14"/>
      <c r="F135" s="14"/>
      <c r="G135" s="14"/>
      <c r="H135" s="14"/>
      <c r="J135" s="14"/>
    </row>
    <row r="136" spans="2:10" x14ac:dyDescent="0.25">
      <c r="B136" s="14"/>
      <c r="C136" s="14"/>
      <c r="D136" s="14"/>
      <c r="F136" s="14"/>
      <c r="G136" s="14"/>
      <c r="H136" s="14"/>
      <c r="J136" s="14"/>
    </row>
    <row r="137" spans="2:10" x14ac:dyDescent="0.25">
      <c r="B137" s="14"/>
      <c r="C137" s="14"/>
      <c r="D137" s="14"/>
      <c r="F137" s="14"/>
      <c r="G137" s="14"/>
      <c r="H137" s="14"/>
      <c r="J137" s="14"/>
    </row>
    <row r="138" spans="2:10" x14ac:dyDescent="0.25">
      <c r="B138" s="14"/>
      <c r="C138" s="14"/>
      <c r="D138" s="14"/>
      <c r="F138" s="14"/>
      <c r="G138" s="14"/>
      <c r="H138" s="14"/>
      <c r="J138" s="14"/>
    </row>
    <row r="139" spans="2:10" x14ac:dyDescent="0.25">
      <c r="B139" s="14"/>
      <c r="C139" s="14"/>
      <c r="D139" s="14"/>
      <c r="F139" s="14"/>
      <c r="G139" s="14"/>
      <c r="H139" s="14"/>
      <c r="J139" s="14"/>
    </row>
    <row r="140" spans="2:10" x14ac:dyDescent="0.25">
      <c r="B140" s="14"/>
      <c r="C140" s="14"/>
      <c r="D140" s="14"/>
      <c r="F140" s="14"/>
      <c r="G140" s="14"/>
      <c r="H140" s="14"/>
      <c r="J140" s="14"/>
    </row>
    <row r="141" spans="2:10" x14ac:dyDescent="0.25">
      <c r="B141" s="14"/>
      <c r="C141" s="14"/>
      <c r="D141" s="14"/>
      <c r="F141" s="14"/>
      <c r="G141" s="14"/>
      <c r="H141" s="14"/>
      <c r="J141" s="14"/>
    </row>
    <row r="142" spans="2:10" x14ac:dyDescent="0.25">
      <c r="B142" s="14"/>
      <c r="C142" s="14"/>
      <c r="D142" s="14"/>
      <c r="F142" s="14"/>
      <c r="G142" s="14"/>
      <c r="H142" s="14"/>
      <c r="J142" s="14"/>
    </row>
    <row r="143" spans="2:10" x14ac:dyDescent="0.25">
      <c r="B143" s="14"/>
      <c r="C143" s="14"/>
      <c r="D143" s="14"/>
      <c r="F143" s="14"/>
      <c r="G143" s="14"/>
      <c r="H143" s="14"/>
      <c r="J143" s="14"/>
    </row>
    <row r="144" spans="2:10" x14ac:dyDescent="0.25">
      <c r="B144" s="14"/>
      <c r="C144" s="14"/>
      <c r="D144" s="14"/>
      <c r="F144" s="14"/>
      <c r="G144" s="14"/>
      <c r="H144" s="14"/>
      <c r="J144" s="14"/>
    </row>
    <row r="145" spans="2:10" x14ac:dyDescent="0.25">
      <c r="B145" s="14"/>
      <c r="C145" s="14"/>
      <c r="D145" s="14"/>
      <c r="F145" s="14"/>
      <c r="G145" s="14"/>
      <c r="H145" s="14"/>
      <c r="J145" s="14"/>
    </row>
    <row r="146" spans="2:10" x14ac:dyDescent="0.25">
      <c r="B146" s="14"/>
      <c r="C146" s="14"/>
      <c r="D146" s="14"/>
      <c r="F146" s="14"/>
      <c r="G146" s="14"/>
      <c r="H146" s="14"/>
      <c r="J146" s="14"/>
    </row>
    <row r="147" spans="2:10" x14ac:dyDescent="0.25">
      <c r="B147" s="14"/>
      <c r="C147" s="14"/>
      <c r="D147" s="14"/>
      <c r="F147" s="14"/>
      <c r="G147" s="14"/>
      <c r="H147" s="14"/>
      <c r="J147" s="14"/>
    </row>
    <row r="148" spans="2:10" x14ac:dyDescent="0.25">
      <c r="B148" s="14"/>
      <c r="C148" s="14"/>
      <c r="D148" s="14"/>
      <c r="F148" s="14"/>
      <c r="G148" s="14"/>
      <c r="H148" s="14"/>
      <c r="J148" s="14"/>
    </row>
    <row r="149" spans="2:10" x14ac:dyDescent="0.25">
      <c r="B149" s="14"/>
      <c r="C149" s="14"/>
      <c r="D149" s="14"/>
      <c r="F149" s="14"/>
      <c r="G149" s="14"/>
      <c r="H149" s="14"/>
      <c r="J149" s="14"/>
    </row>
    <row r="150" spans="2:10" x14ac:dyDescent="0.25">
      <c r="B150" s="14"/>
      <c r="C150" s="14"/>
      <c r="D150" s="14"/>
      <c r="F150" s="14"/>
      <c r="G150" s="14"/>
      <c r="H150" s="14"/>
      <c r="J150" s="14"/>
    </row>
    <row r="151" spans="2:10" x14ac:dyDescent="0.25">
      <c r="B151" s="14"/>
      <c r="C151" s="14"/>
      <c r="D151" s="14"/>
      <c r="F151" s="14"/>
      <c r="G151" s="14"/>
      <c r="H151" s="14"/>
      <c r="J151" s="14"/>
    </row>
    <row r="152" spans="2:10" x14ac:dyDescent="0.25">
      <c r="B152" s="14"/>
      <c r="C152" s="14"/>
      <c r="D152" s="14"/>
      <c r="F152" s="14"/>
      <c r="G152" s="14"/>
      <c r="H152" s="14"/>
      <c r="J152" s="14"/>
    </row>
    <row r="153" spans="2:10" x14ac:dyDescent="0.25">
      <c r="B153" s="14"/>
      <c r="C153" s="14"/>
      <c r="D153" s="14"/>
      <c r="F153" s="14"/>
      <c r="G153" s="14"/>
      <c r="H153" s="14"/>
      <c r="J153" s="14"/>
    </row>
    <row r="154" spans="2:10" x14ac:dyDescent="0.25">
      <c r="B154" s="14"/>
      <c r="C154" s="14"/>
      <c r="D154" s="14"/>
      <c r="F154" s="14"/>
      <c r="G154" s="14"/>
      <c r="H154" s="14"/>
      <c r="J154" s="14"/>
    </row>
    <row r="155" spans="2:10" x14ac:dyDescent="0.25">
      <c r="B155" s="14"/>
      <c r="C155" s="14"/>
      <c r="D155" s="14"/>
      <c r="F155" s="14"/>
      <c r="G155" s="14"/>
      <c r="H155" s="14"/>
      <c r="J155" s="14"/>
    </row>
    <row r="156" spans="2:10" x14ac:dyDescent="0.25">
      <c r="B156" s="14"/>
      <c r="C156" s="14"/>
      <c r="D156" s="14"/>
      <c r="F156" s="14"/>
      <c r="G156" s="14"/>
      <c r="H156" s="14"/>
      <c r="J156" s="14"/>
    </row>
    <row r="157" spans="2:10" x14ac:dyDescent="0.25">
      <c r="B157" s="14"/>
      <c r="C157" s="14"/>
      <c r="D157" s="14"/>
      <c r="F157" s="14"/>
      <c r="G157" s="14"/>
      <c r="H157" s="14"/>
      <c r="J157" s="14"/>
    </row>
    <row r="158" spans="2:10" x14ac:dyDescent="0.25">
      <c r="B158" s="14"/>
      <c r="C158" s="14"/>
      <c r="D158" s="14"/>
      <c r="F158" s="14"/>
      <c r="G158" s="14"/>
      <c r="H158" s="14"/>
      <c r="J158" s="14"/>
    </row>
    <row r="159" spans="2:10" x14ac:dyDescent="0.25">
      <c r="B159" s="14"/>
      <c r="C159" s="14"/>
      <c r="D159" s="14"/>
      <c r="F159" s="14"/>
      <c r="G159" s="14"/>
      <c r="H159" s="14"/>
      <c r="J159" s="14"/>
    </row>
    <row r="160" spans="2:10" x14ac:dyDescent="0.25">
      <c r="B160" s="14"/>
      <c r="C160" s="14"/>
      <c r="D160" s="14"/>
      <c r="F160" s="14"/>
      <c r="G160" s="14"/>
      <c r="H160" s="14"/>
      <c r="J160" s="14"/>
    </row>
  </sheetData>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K62"/>
  <sheetViews>
    <sheetView topLeftCell="A31" workbookViewId="0">
      <selection activeCell="B28" sqref="B28"/>
    </sheetView>
  </sheetViews>
  <sheetFormatPr baseColWidth="10" defaultRowHeight="15" x14ac:dyDescent="0.25"/>
  <cols>
    <col min="2" max="2" width="34.28515625" customWidth="1"/>
    <col min="3" max="3" width="47.140625" customWidth="1"/>
    <col min="4" max="4" width="22.5703125" customWidth="1"/>
    <col min="5" max="5" width="34.85546875" customWidth="1"/>
  </cols>
  <sheetData>
    <row r="2" spans="1:11" x14ac:dyDescent="0.25">
      <c r="A2" t="s">
        <v>199</v>
      </c>
    </row>
    <row r="4" spans="1:11" x14ac:dyDescent="0.25">
      <c r="B4" s="48" t="s">
        <v>196</v>
      </c>
      <c r="C4" s="48" t="s">
        <v>197</v>
      </c>
      <c r="D4" s="48" t="s">
        <v>198</v>
      </c>
      <c r="E4" s="48" t="s">
        <v>200</v>
      </c>
    </row>
    <row r="5" spans="1:11" ht="182.25" customHeight="1" x14ac:dyDescent="0.25">
      <c r="A5" s="46">
        <v>1</v>
      </c>
      <c r="B5" s="47">
        <v>44144.592488425929</v>
      </c>
      <c r="D5" s="46">
        <v>6</v>
      </c>
    </row>
    <row r="6" spans="1:11" ht="182.25" customHeight="1" x14ac:dyDescent="0.25">
      <c r="A6" s="46">
        <v>2</v>
      </c>
      <c r="B6" s="47">
        <v>44144.439016203702</v>
      </c>
      <c r="D6" s="46">
        <v>3</v>
      </c>
    </row>
    <row r="7" spans="1:11" ht="197.25" customHeight="1" x14ac:dyDescent="0.25">
      <c r="A7" s="46">
        <v>3</v>
      </c>
      <c r="B7" s="47">
        <v>44144.420266203706</v>
      </c>
      <c r="D7" s="46">
        <v>1</v>
      </c>
      <c r="E7" s="46" t="s">
        <v>201</v>
      </c>
    </row>
    <row r="8" spans="1:11" ht="187.5" customHeight="1" x14ac:dyDescent="0.25">
      <c r="A8" s="46">
        <v>4</v>
      </c>
      <c r="B8" s="47" t="s">
        <v>202</v>
      </c>
      <c r="D8" s="46">
        <v>1</v>
      </c>
    </row>
    <row r="9" spans="1:11" ht="215.25" customHeight="1" x14ac:dyDescent="0.25">
      <c r="A9" s="46">
        <v>5</v>
      </c>
      <c r="B9" s="47" t="s">
        <v>203</v>
      </c>
      <c r="D9" s="46">
        <v>3</v>
      </c>
    </row>
    <row r="10" spans="1:11" ht="173.25" customHeight="1" x14ac:dyDescent="0.25">
      <c r="A10" s="46">
        <v>6</v>
      </c>
      <c r="B10" s="47">
        <v>44113.514710648145</v>
      </c>
      <c r="D10" s="46">
        <v>4</v>
      </c>
      <c r="E10" s="37" t="s">
        <v>204</v>
      </c>
    </row>
    <row r="11" spans="1:11" ht="206.25" customHeight="1" x14ac:dyDescent="0.25">
      <c r="A11" s="46">
        <v>7</v>
      </c>
      <c r="B11" s="47">
        <v>44113.462627314817</v>
      </c>
      <c r="D11" s="46">
        <v>1</v>
      </c>
      <c r="E11" s="46" t="s">
        <v>209</v>
      </c>
      <c r="F11" t="s">
        <v>205</v>
      </c>
      <c r="G11" t="s">
        <v>206</v>
      </c>
      <c r="H11">
        <f>(6+3+1+1+3+4)/6</f>
        <v>3</v>
      </c>
      <c r="J11" t="s">
        <v>207</v>
      </c>
      <c r="K11" t="s">
        <v>208</v>
      </c>
    </row>
    <row r="12" spans="1:11" ht="207.75" customHeight="1" x14ac:dyDescent="0.25">
      <c r="A12" s="46">
        <v>8</v>
      </c>
      <c r="B12" s="47">
        <v>44113.434155092589</v>
      </c>
      <c r="D12" s="46">
        <v>15</v>
      </c>
      <c r="F12" t="s">
        <v>205</v>
      </c>
      <c r="G12" t="s">
        <v>206</v>
      </c>
      <c r="H12">
        <f>(6+3+1+1+3+4+1)/7</f>
        <v>2.7142857142857144</v>
      </c>
    </row>
    <row r="13" spans="1:11" ht="212.25" customHeight="1" x14ac:dyDescent="0.25">
      <c r="A13" s="46">
        <v>9</v>
      </c>
      <c r="B13" s="47">
        <v>44083.665405092594</v>
      </c>
      <c r="D13" s="46">
        <v>2</v>
      </c>
      <c r="F13" t="s">
        <v>205</v>
      </c>
      <c r="G13" t="s">
        <v>206</v>
      </c>
      <c r="H13">
        <f>(6+3+1+1+3+4+1+15)/8</f>
        <v>4.25</v>
      </c>
    </row>
    <row r="14" spans="1:11" ht="209.25" customHeight="1" x14ac:dyDescent="0.25">
      <c r="A14" s="46">
        <v>10</v>
      </c>
      <c r="B14" s="47">
        <v>44083.460543981484</v>
      </c>
      <c r="D14" s="46">
        <v>2</v>
      </c>
      <c r="F14" t="s">
        <v>205</v>
      </c>
      <c r="G14" t="s">
        <v>206</v>
      </c>
      <c r="H14">
        <f>(6+3+1+1+3+4+1+15+2+2)/10</f>
        <v>3.8</v>
      </c>
    </row>
    <row r="15" spans="1:11" ht="184.5" customHeight="1" x14ac:dyDescent="0.25">
      <c r="A15" s="46">
        <v>11</v>
      </c>
      <c r="B15" s="47">
        <v>44083.432071759256</v>
      </c>
      <c r="D15" s="46">
        <v>7</v>
      </c>
      <c r="F15" t="s">
        <v>205</v>
      </c>
      <c r="G15" t="s">
        <v>206</v>
      </c>
      <c r="H15">
        <f>(6+3+1+1+3+4+1+15+2+2+7)/11</f>
        <v>4.0909090909090908</v>
      </c>
    </row>
    <row r="16" spans="1:11" ht="195" customHeight="1" x14ac:dyDescent="0.25">
      <c r="A16" s="46">
        <v>12</v>
      </c>
      <c r="B16" s="47">
        <v>44083.407071759262</v>
      </c>
      <c r="D16" s="46">
        <v>1</v>
      </c>
      <c r="F16" t="s">
        <v>205</v>
      </c>
      <c r="G16" t="s">
        <v>206</v>
      </c>
      <c r="H16">
        <f>(6+3+1+1+3+4+1+15+2+2+7+1)/12</f>
        <v>3.8333333333333335</v>
      </c>
    </row>
    <row r="17" spans="1:8" ht="192.75" customHeight="1" x14ac:dyDescent="0.25">
      <c r="A17" s="46">
        <v>13</v>
      </c>
      <c r="B17" s="47">
        <v>44083.333460648151</v>
      </c>
      <c r="D17" s="46">
        <v>6</v>
      </c>
      <c r="F17" t="s">
        <v>205</v>
      </c>
      <c r="G17" t="s">
        <v>206</v>
      </c>
      <c r="H17">
        <f>(6+3+1+1+3+4+1+15+2+2+7+1+6)/13</f>
        <v>4</v>
      </c>
    </row>
    <row r="18" spans="1:8" ht="186" customHeight="1" x14ac:dyDescent="0.25">
      <c r="A18" s="46">
        <v>14</v>
      </c>
      <c r="B18" s="47" t="s">
        <v>210</v>
      </c>
      <c r="D18" s="46">
        <v>13</v>
      </c>
      <c r="F18" t="s">
        <v>205</v>
      </c>
      <c r="G18" t="s">
        <v>206</v>
      </c>
      <c r="H18">
        <f>(6+3+1+1+3+4+1+15+2+2+7+1+6+13)/14</f>
        <v>4.6428571428571432</v>
      </c>
    </row>
    <row r="19" spans="1:8" ht="193.5" customHeight="1" x14ac:dyDescent="0.25">
      <c r="A19" s="46">
        <v>15</v>
      </c>
      <c r="B19" s="47">
        <v>44052.509155092594</v>
      </c>
      <c r="D19" s="46">
        <v>17</v>
      </c>
      <c r="F19" t="s">
        <v>205</v>
      </c>
      <c r="G19" t="s">
        <v>206</v>
      </c>
      <c r="H19">
        <f>(6+3+1+1+3+4+1+15+2+2+7+1+6+13+17)/15</f>
        <v>5.4666666666666668</v>
      </c>
    </row>
    <row r="20" spans="1:8" ht="185.25" customHeight="1" x14ac:dyDescent="0.25">
      <c r="A20" s="46">
        <v>16</v>
      </c>
      <c r="B20" s="47">
        <v>44052.480682870373</v>
      </c>
      <c r="D20" s="46">
        <v>4</v>
      </c>
      <c r="F20" t="s">
        <v>205</v>
      </c>
      <c r="G20" t="s">
        <v>206</v>
      </c>
      <c r="H20">
        <f>(6+3+1+1+3+4+1+15+2+2+7+1+6+13+17+4)/16</f>
        <v>5.375</v>
      </c>
    </row>
    <row r="21" spans="1:8" ht="194.25" customHeight="1" x14ac:dyDescent="0.25">
      <c r="A21" s="46">
        <v>17</v>
      </c>
      <c r="B21" s="47">
        <v>44052.460543981484</v>
      </c>
      <c r="D21" s="46">
        <v>5</v>
      </c>
      <c r="F21" t="s">
        <v>205</v>
      </c>
      <c r="G21" t="s">
        <v>206</v>
      </c>
      <c r="H21">
        <f>(6+3+1+1+3+4+1+15+2+2+7+1+6+13+17+4+5)/17</f>
        <v>5.3529411764705879</v>
      </c>
    </row>
    <row r="22" spans="1:8" ht="185.25" customHeight="1" x14ac:dyDescent="0.25">
      <c r="A22" s="46">
        <v>18</v>
      </c>
      <c r="B22" s="47">
        <v>44052.44804398148</v>
      </c>
      <c r="D22" s="46">
        <v>5</v>
      </c>
      <c r="F22" t="s">
        <v>205</v>
      </c>
      <c r="G22" t="s">
        <v>206</v>
      </c>
      <c r="H22">
        <f>(6+3+1+1+3+4+1+15+2+2+7+1+6+13+17+4+5+5)/18</f>
        <v>5.333333333333333</v>
      </c>
    </row>
    <row r="23" spans="1:8" ht="194.25" customHeight="1" x14ac:dyDescent="0.25">
      <c r="A23" s="46">
        <v>19</v>
      </c>
      <c r="B23" s="47">
        <v>44052.419571759259</v>
      </c>
      <c r="D23" s="46">
        <v>2</v>
      </c>
      <c r="F23" t="s">
        <v>205</v>
      </c>
      <c r="G23" t="s">
        <v>206</v>
      </c>
      <c r="H23">
        <f>(6+3+1+1+3+4+1+15+2+2+7+1+6+13+17+4+5+5+2)/19</f>
        <v>5.1578947368421053</v>
      </c>
    </row>
    <row r="24" spans="1:8" ht="184.5" customHeight="1" x14ac:dyDescent="0.25">
      <c r="A24" s="46">
        <v>20</v>
      </c>
      <c r="B24" s="47">
        <v>44052.407071759262</v>
      </c>
      <c r="D24" s="46">
        <v>1</v>
      </c>
      <c r="F24" t="s">
        <v>205</v>
      </c>
      <c r="G24" t="s">
        <v>206</v>
      </c>
      <c r="H24">
        <f>(6+3+1+1+3+4+1+15+2+2+7+1+6+13+17+4+5+5+2+1)/20</f>
        <v>4.95</v>
      </c>
    </row>
    <row r="25" spans="1:8" ht="195" customHeight="1" x14ac:dyDescent="0.25">
      <c r="A25" s="46">
        <v>21</v>
      </c>
      <c r="B25" s="47" t="s">
        <v>221</v>
      </c>
      <c r="D25" s="46">
        <v>6</v>
      </c>
    </row>
    <row r="26" spans="1:8" ht="183.75" customHeight="1" x14ac:dyDescent="0.25">
      <c r="A26" s="46">
        <v>22</v>
      </c>
      <c r="B26" s="47" t="s">
        <v>222</v>
      </c>
      <c r="D26" s="46">
        <v>3</v>
      </c>
    </row>
    <row r="27" spans="1:8" ht="195.75" customHeight="1" x14ac:dyDescent="0.25">
      <c r="A27" s="46">
        <v>23</v>
      </c>
      <c r="B27" s="47">
        <v>43930.471655092595</v>
      </c>
      <c r="D27" s="46">
        <v>1</v>
      </c>
    </row>
    <row r="28" spans="1:8" ht="183" customHeight="1" x14ac:dyDescent="0.25">
      <c r="A28" s="46">
        <v>24</v>
      </c>
      <c r="B28" s="47">
        <v>43930.450127314813</v>
      </c>
      <c r="D28" s="46">
        <v>5</v>
      </c>
    </row>
    <row r="29" spans="1:8" ht="195" customHeight="1" x14ac:dyDescent="0.25">
      <c r="A29" s="46">
        <v>25</v>
      </c>
      <c r="B29" s="47">
        <v>43930.395960648151</v>
      </c>
      <c r="D29" s="46">
        <v>3</v>
      </c>
    </row>
    <row r="30" spans="1:8" x14ac:dyDescent="0.25">
      <c r="A30" s="46">
        <v>26</v>
      </c>
    </row>
    <row r="31" spans="1:8" x14ac:dyDescent="0.25">
      <c r="A31" s="46">
        <v>27</v>
      </c>
    </row>
    <row r="32" spans="1:8" x14ac:dyDescent="0.25">
      <c r="A32" s="46">
        <v>28</v>
      </c>
    </row>
    <row r="33" spans="1:1" x14ac:dyDescent="0.25">
      <c r="A33" s="46">
        <v>29</v>
      </c>
    </row>
    <row r="34" spans="1:1" x14ac:dyDescent="0.25">
      <c r="A34" s="46">
        <v>30</v>
      </c>
    </row>
    <row r="35" spans="1:1" x14ac:dyDescent="0.25">
      <c r="A35" s="46">
        <v>31</v>
      </c>
    </row>
    <row r="36" spans="1:1" x14ac:dyDescent="0.25">
      <c r="A36" s="46">
        <v>32</v>
      </c>
    </row>
    <row r="37" spans="1:1" x14ac:dyDescent="0.25">
      <c r="A37" s="46">
        <v>33</v>
      </c>
    </row>
    <row r="38" spans="1:1" x14ac:dyDescent="0.25">
      <c r="A38" s="46">
        <v>34</v>
      </c>
    </row>
    <row r="39" spans="1:1" x14ac:dyDescent="0.25">
      <c r="A39" s="46">
        <v>35</v>
      </c>
    </row>
    <row r="40" spans="1:1" x14ac:dyDescent="0.25">
      <c r="A40" s="46">
        <v>36</v>
      </c>
    </row>
    <row r="41" spans="1:1" x14ac:dyDescent="0.25">
      <c r="A41" s="46">
        <v>37</v>
      </c>
    </row>
    <row r="42" spans="1:1" x14ac:dyDescent="0.25">
      <c r="A42" s="46">
        <v>38</v>
      </c>
    </row>
    <row r="43" spans="1:1" x14ac:dyDescent="0.25">
      <c r="A43" s="46">
        <v>39</v>
      </c>
    </row>
    <row r="44" spans="1:1" x14ac:dyDescent="0.25">
      <c r="A44" s="46">
        <v>40</v>
      </c>
    </row>
    <row r="45" spans="1:1" x14ac:dyDescent="0.25">
      <c r="A45" s="46">
        <v>41</v>
      </c>
    </row>
    <row r="46" spans="1:1" x14ac:dyDescent="0.25">
      <c r="A46" s="46">
        <v>42</v>
      </c>
    </row>
    <row r="47" spans="1:1" x14ac:dyDescent="0.25">
      <c r="A47" s="46">
        <v>43</v>
      </c>
    </row>
    <row r="48" spans="1:1" x14ac:dyDescent="0.25">
      <c r="A48" s="46">
        <v>44</v>
      </c>
    </row>
    <row r="49" spans="1:1" x14ac:dyDescent="0.25">
      <c r="A49" s="46">
        <v>45</v>
      </c>
    </row>
    <row r="50" spans="1:1" x14ac:dyDescent="0.25">
      <c r="A50" s="46">
        <v>46</v>
      </c>
    </row>
    <row r="51" spans="1:1" x14ac:dyDescent="0.25">
      <c r="A51" s="46">
        <v>47</v>
      </c>
    </row>
    <row r="52" spans="1:1" x14ac:dyDescent="0.25">
      <c r="A52" s="46">
        <v>48</v>
      </c>
    </row>
    <row r="53" spans="1:1" x14ac:dyDescent="0.25">
      <c r="A53" s="46">
        <v>49</v>
      </c>
    </row>
    <row r="54" spans="1:1" x14ac:dyDescent="0.25">
      <c r="A54" s="46">
        <v>50</v>
      </c>
    </row>
    <row r="55" spans="1:1" x14ac:dyDescent="0.25">
      <c r="A55" s="46">
        <v>51</v>
      </c>
    </row>
    <row r="56" spans="1:1" x14ac:dyDescent="0.25">
      <c r="A56" s="46">
        <v>52</v>
      </c>
    </row>
    <row r="57" spans="1:1" x14ac:dyDescent="0.25">
      <c r="A57" s="46">
        <v>53</v>
      </c>
    </row>
    <row r="58" spans="1:1" x14ac:dyDescent="0.25">
      <c r="A58" s="46">
        <v>54</v>
      </c>
    </row>
    <row r="59" spans="1:1" x14ac:dyDescent="0.25">
      <c r="A59" s="46">
        <v>55</v>
      </c>
    </row>
    <row r="60" spans="1:1" x14ac:dyDescent="0.25">
      <c r="A60" s="46">
        <v>56</v>
      </c>
    </row>
    <row r="61" spans="1:1" x14ac:dyDescent="0.25">
      <c r="A61" s="46">
        <v>57</v>
      </c>
    </row>
    <row r="62" spans="1:1" x14ac:dyDescent="0.25">
      <c r="A62" s="46">
        <v>58</v>
      </c>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N31"/>
  <sheetViews>
    <sheetView topLeftCell="B1" workbookViewId="0">
      <selection activeCell="G16" sqref="G16"/>
    </sheetView>
  </sheetViews>
  <sheetFormatPr baseColWidth="10" defaultRowHeight="15" x14ac:dyDescent="0.25"/>
  <cols>
    <col min="2" max="2" width="32.85546875" customWidth="1"/>
    <col min="3" max="3" width="16.140625" customWidth="1"/>
    <col min="4" max="4" width="15.5703125" customWidth="1"/>
    <col min="12" max="12" width="13.42578125" customWidth="1"/>
  </cols>
  <sheetData>
    <row r="2" spans="1:14" x14ac:dyDescent="0.25">
      <c r="A2" t="s">
        <v>211</v>
      </c>
    </row>
    <row r="4" spans="1:14" x14ac:dyDescent="0.25">
      <c r="B4" t="s">
        <v>212</v>
      </c>
      <c r="C4" s="46" t="s">
        <v>213</v>
      </c>
      <c r="D4" s="46" t="s">
        <v>214</v>
      </c>
    </row>
    <row r="5" spans="1:14" x14ac:dyDescent="0.25">
      <c r="B5">
        <v>1</v>
      </c>
      <c r="C5" s="36">
        <f>5/20</f>
        <v>0.25</v>
      </c>
      <c r="D5" s="36">
        <v>1</v>
      </c>
      <c r="M5" t="s">
        <v>267</v>
      </c>
      <c r="N5" t="s">
        <v>271</v>
      </c>
    </row>
    <row r="6" spans="1:14" x14ac:dyDescent="0.25">
      <c r="B6">
        <v>2</v>
      </c>
      <c r="C6" s="36">
        <f>3/20</f>
        <v>0.15</v>
      </c>
      <c r="D6" s="36">
        <f>D5-C5</f>
        <v>0.75</v>
      </c>
      <c r="E6" t="s">
        <v>217</v>
      </c>
      <c r="I6" t="s">
        <v>219</v>
      </c>
      <c r="M6" t="s">
        <v>268</v>
      </c>
      <c r="N6" t="s">
        <v>272</v>
      </c>
    </row>
    <row r="7" spans="1:14" x14ac:dyDescent="0.25">
      <c r="B7">
        <v>3</v>
      </c>
      <c r="C7" s="36">
        <f>2/20</f>
        <v>0.1</v>
      </c>
      <c r="D7" s="36">
        <f>D5-(C5+C6)</f>
        <v>0.6</v>
      </c>
      <c r="E7" t="s">
        <v>218</v>
      </c>
      <c r="I7" t="s">
        <v>220</v>
      </c>
      <c r="M7" t="s">
        <v>269</v>
      </c>
      <c r="N7" t="s">
        <v>273</v>
      </c>
    </row>
    <row r="8" spans="1:14" x14ac:dyDescent="0.25">
      <c r="B8">
        <v>4</v>
      </c>
      <c r="C8" s="36">
        <f>2/20</f>
        <v>0.1</v>
      </c>
      <c r="D8" s="36">
        <f>D5-(C5+C6+C7)</f>
        <v>0.5</v>
      </c>
      <c r="E8" t="s">
        <v>215</v>
      </c>
      <c r="I8" t="s">
        <v>216</v>
      </c>
      <c r="M8" t="s">
        <v>270</v>
      </c>
      <c r="N8" t="s">
        <v>274</v>
      </c>
    </row>
    <row r="9" spans="1:14" x14ac:dyDescent="0.25">
      <c r="B9">
        <v>5</v>
      </c>
      <c r="C9" s="36">
        <f>2/20</f>
        <v>0.1</v>
      </c>
      <c r="D9" s="36">
        <f>D5-(C5+C6+C7+C8)</f>
        <v>0.4</v>
      </c>
    </row>
    <row r="10" spans="1:14" x14ac:dyDescent="0.25">
      <c r="B10">
        <v>6</v>
      </c>
      <c r="C10" s="36">
        <f>2/20</f>
        <v>0.1</v>
      </c>
      <c r="D10" s="36">
        <f>D5-(C5+C6+C7+C8+C9)</f>
        <v>0.30000000000000004</v>
      </c>
    </row>
    <row r="11" spans="1:14" x14ac:dyDescent="0.25">
      <c r="B11">
        <v>7</v>
      </c>
      <c r="C11" s="36">
        <f>1/20</f>
        <v>0.05</v>
      </c>
      <c r="D11" s="36">
        <f>D5-(C5+C6+C7+C8+C9+C10)</f>
        <v>0.20000000000000007</v>
      </c>
    </row>
    <row r="12" spans="1:14" x14ac:dyDescent="0.25">
      <c r="B12">
        <v>13</v>
      </c>
      <c r="C12" s="36">
        <f>1/20</f>
        <v>0.05</v>
      </c>
      <c r="D12" s="36">
        <f>D5-(SUM(C5:C11))</f>
        <v>0.15000000000000002</v>
      </c>
    </row>
    <row r="13" spans="1:14" x14ac:dyDescent="0.25">
      <c r="B13">
        <v>15</v>
      </c>
      <c r="C13" s="36">
        <f t="shared" ref="C13:C14" si="0">1/20</f>
        <v>0.05</v>
      </c>
      <c r="D13" s="36">
        <f>D5-(SUM(C5:C12))</f>
        <v>9.9999999999999978E-2</v>
      </c>
    </row>
    <row r="14" spans="1:14" x14ac:dyDescent="0.25">
      <c r="B14">
        <v>17</v>
      </c>
      <c r="C14" s="36">
        <f t="shared" si="0"/>
        <v>0.05</v>
      </c>
      <c r="D14" s="36">
        <f>D5-(SUM(C5:C13))</f>
        <v>4.9999999999999933E-2</v>
      </c>
    </row>
    <row r="15" spans="1:14" x14ac:dyDescent="0.25">
      <c r="C15" s="36">
        <f>SUM(C5:C14)</f>
        <v>1</v>
      </c>
    </row>
    <row r="18" spans="1:4" x14ac:dyDescent="0.25">
      <c r="A18" t="s">
        <v>223</v>
      </c>
    </row>
    <row r="20" spans="1:4" x14ac:dyDescent="0.25">
      <c r="B20" t="s">
        <v>212</v>
      </c>
      <c r="C20" s="46" t="s">
        <v>213</v>
      </c>
      <c r="D20" s="46" t="s">
        <v>214</v>
      </c>
    </row>
    <row r="21" spans="1:4" x14ac:dyDescent="0.25">
      <c r="B21">
        <v>1</v>
      </c>
      <c r="C21" s="36">
        <f>6/25</f>
        <v>0.24</v>
      </c>
      <c r="D21" s="36">
        <v>1</v>
      </c>
    </row>
    <row r="22" spans="1:4" x14ac:dyDescent="0.25">
      <c r="B22">
        <v>2</v>
      </c>
      <c r="C22" s="36">
        <f>3/25</f>
        <v>0.12</v>
      </c>
      <c r="D22" s="36">
        <f>D21-C21</f>
        <v>0.76</v>
      </c>
    </row>
    <row r="23" spans="1:4" x14ac:dyDescent="0.25">
      <c r="B23">
        <v>3</v>
      </c>
      <c r="C23" s="36">
        <f>4/25</f>
        <v>0.16</v>
      </c>
      <c r="D23" s="36">
        <f>D21-(C21+C22)</f>
        <v>0.64</v>
      </c>
    </row>
    <row r="24" spans="1:4" x14ac:dyDescent="0.25">
      <c r="B24">
        <v>4</v>
      </c>
      <c r="C24" s="36">
        <f>2/25</f>
        <v>0.08</v>
      </c>
      <c r="D24" s="36">
        <f>D21-(C21+C22+C23)</f>
        <v>0.48</v>
      </c>
    </row>
    <row r="25" spans="1:4" x14ac:dyDescent="0.25">
      <c r="B25">
        <v>5</v>
      </c>
      <c r="C25" s="36">
        <f>3/25</f>
        <v>0.12</v>
      </c>
      <c r="D25" s="36">
        <f>D21-(C21+C22+C23+C24)</f>
        <v>0.4</v>
      </c>
    </row>
    <row r="26" spans="1:4" x14ac:dyDescent="0.25">
      <c r="B26">
        <v>6</v>
      </c>
      <c r="C26" s="36">
        <f>3/25</f>
        <v>0.12</v>
      </c>
      <c r="D26" s="36">
        <f>D21-(C21+C22+C23+C24+C25)</f>
        <v>0.28000000000000003</v>
      </c>
    </row>
    <row r="27" spans="1:4" x14ac:dyDescent="0.25">
      <c r="B27">
        <v>7</v>
      </c>
      <c r="C27" s="36">
        <f>1/25</f>
        <v>0.04</v>
      </c>
      <c r="D27" s="36">
        <f>D21-(C21+C22+C23+C24+C25+C26)</f>
        <v>0.16000000000000003</v>
      </c>
    </row>
    <row r="28" spans="1:4" x14ac:dyDescent="0.25">
      <c r="B28">
        <v>13</v>
      </c>
      <c r="C28" s="36">
        <f>1/25</f>
        <v>0.04</v>
      </c>
      <c r="D28" s="36">
        <f>D21-(SUM(C21:C27))</f>
        <v>0.12</v>
      </c>
    </row>
    <row r="29" spans="1:4" x14ac:dyDescent="0.25">
      <c r="B29">
        <v>15</v>
      </c>
      <c r="C29" s="36">
        <f>1/25</f>
        <v>0.04</v>
      </c>
      <c r="D29" s="36">
        <f>D21-(SUM(C21:C28))</f>
        <v>7.999999999999996E-2</v>
      </c>
    </row>
    <row r="30" spans="1:4" x14ac:dyDescent="0.25">
      <c r="B30">
        <v>17</v>
      </c>
      <c r="C30" s="36">
        <f>1/25</f>
        <v>0.04</v>
      </c>
      <c r="D30" s="36">
        <f>D21-(SUM(C21:C29))</f>
        <v>3.9999999999999925E-2</v>
      </c>
    </row>
    <row r="31" spans="1:4" x14ac:dyDescent="0.25">
      <c r="C31" s="36">
        <f>SUM(C21:C30)</f>
        <v>1</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L48"/>
  <sheetViews>
    <sheetView topLeftCell="A2" workbookViewId="0">
      <selection activeCell="C50" sqref="C50"/>
    </sheetView>
  </sheetViews>
  <sheetFormatPr baseColWidth="10" defaultRowHeight="15" x14ac:dyDescent="0.25"/>
  <cols>
    <col min="2" max="2" width="20.85546875" customWidth="1"/>
    <col min="4" max="4" width="20" customWidth="1"/>
    <col min="8" max="8" width="28.5703125" customWidth="1"/>
    <col min="9" max="9" width="17.85546875" customWidth="1"/>
    <col min="10" max="10" width="16.42578125" customWidth="1"/>
  </cols>
  <sheetData>
    <row r="3" spans="1:12" x14ac:dyDescent="0.25">
      <c r="H3" t="s">
        <v>212</v>
      </c>
      <c r="I3" s="46" t="s">
        <v>213</v>
      </c>
      <c r="J3" s="46" t="s">
        <v>214</v>
      </c>
    </row>
    <row r="4" spans="1:12" x14ac:dyDescent="0.25">
      <c r="B4" t="s">
        <v>196</v>
      </c>
      <c r="C4" t="s">
        <v>139</v>
      </c>
      <c r="D4" t="s">
        <v>224</v>
      </c>
      <c r="H4">
        <v>0</v>
      </c>
      <c r="I4" s="36">
        <f>3/20</f>
        <v>0.15</v>
      </c>
    </row>
    <row r="5" spans="1:12" x14ac:dyDescent="0.25">
      <c r="A5">
        <v>1</v>
      </c>
      <c r="C5" t="s">
        <v>179</v>
      </c>
      <c r="D5">
        <v>3</v>
      </c>
      <c r="H5">
        <v>1</v>
      </c>
      <c r="I5" s="36">
        <f>0/20</f>
        <v>0</v>
      </c>
      <c r="J5" s="36">
        <f>100%-I4</f>
        <v>0.85</v>
      </c>
    </row>
    <row r="6" spans="1:12" x14ac:dyDescent="0.25">
      <c r="A6">
        <v>2</v>
      </c>
      <c r="C6" t="s">
        <v>178</v>
      </c>
      <c r="D6">
        <v>2</v>
      </c>
      <c r="H6">
        <v>2</v>
      </c>
      <c r="I6" s="36">
        <f>6/20</f>
        <v>0.3</v>
      </c>
      <c r="J6" s="36">
        <f>J5-I5</f>
        <v>0.85</v>
      </c>
    </row>
    <row r="7" spans="1:12" x14ac:dyDescent="0.25">
      <c r="A7">
        <v>3</v>
      </c>
      <c r="C7" t="s">
        <v>178</v>
      </c>
      <c r="D7">
        <v>6</v>
      </c>
      <c r="H7">
        <v>3</v>
      </c>
      <c r="I7" s="36">
        <f>6/20</f>
        <v>0.3</v>
      </c>
      <c r="J7" s="36">
        <f>1-(I4+I5+I6)</f>
        <v>0.55000000000000004</v>
      </c>
    </row>
    <row r="8" spans="1:12" x14ac:dyDescent="0.25">
      <c r="A8">
        <v>4</v>
      </c>
      <c r="C8" t="s">
        <v>179</v>
      </c>
      <c r="D8">
        <v>4</v>
      </c>
      <c r="H8">
        <v>4</v>
      </c>
      <c r="I8" s="36">
        <f>2/20</f>
        <v>0.1</v>
      </c>
      <c r="J8" s="36">
        <f>1-(I4+I5+I6+I7)</f>
        <v>0.25</v>
      </c>
    </row>
    <row r="9" spans="1:12" x14ac:dyDescent="0.25">
      <c r="A9">
        <v>5</v>
      </c>
      <c r="C9" t="s">
        <v>178</v>
      </c>
      <c r="D9">
        <v>7</v>
      </c>
      <c r="H9">
        <v>5</v>
      </c>
      <c r="I9" s="36">
        <f>0/20</f>
        <v>0</v>
      </c>
      <c r="J9" s="36">
        <f>1-(I4+I5+I6+I7+I8)</f>
        <v>0.15000000000000002</v>
      </c>
      <c r="L9" t="s">
        <v>230</v>
      </c>
    </row>
    <row r="10" spans="1:12" x14ac:dyDescent="0.25">
      <c r="A10">
        <v>6</v>
      </c>
      <c r="B10" s="47" t="s">
        <v>225</v>
      </c>
      <c r="C10" t="s">
        <v>178</v>
      </c>
      <c r="D10">
        <v>2</v>
      </c>
      <c r="H10">
        <v>6</v>
      </c>
      <c r="I10" s="36">
        <f>1/20</f>
        <v>0.05</v>
      </c>
      <c r="J10" s="36">
        <f>1-(I4+I5+I6+I7+I8+I9)</f>
        <v>0.15000000000000002</v>
      </c>
      <c r="L10">
        <f>0.85*20-0.15*20</f>
        <v>14</v>
      </c>
    </row>
    <row r="11" spans="1:12" x14ac:dyDescent="0.25">
      <c r="A11">
        <v>7</v>
      </c>
      <c r="B11" s="47" t="s">
        <v>226</v>
      </c>
      <c r="C11" t="s">
        <v>178</v>
      </c>
      <c r="D11">
        <v>2</v>
      </c>
      <c r="H11">
        <v>7</v>
      </c>
      <c r="I11" s="36">
        <f>1/20</f>
        <v>0.05</v>
      </c>
      <c r="J11" s="36">
        <f>1-(I4+I5+I6+I7+I8+I9+I10)</f>
        <v>9.9999999999999978E-2</v>
      </c>
    </row>
    <row r="12" spans="1:12" x14ac:dyDescent="0.25">
      <c r="A12">
        <v>8</v>
      </c>
      <c r="B12" s="47" t="s">
        <v>227</v>
      </c>
      <c r="C12" t="s">
        <v>179</v>
      </c>
      <c r="D12">
        <v>3</v>
      </c>
      <c r="H12">
        <v>13</v>
      </c>
      <c r="I12" s="36">
        <f>0/20</f>
        <v>0</v>
      </c>
      <c r="J12" s="36">
        <f>1-(SUM(I4:I11))</f>
        <v>4.9999999999999933E-2</v>
      </c>
    </row>
    <row r="13" spans="1:12" x14ac:dyDescent="0.25">
      <c r="A13">
        <v>9</v>
      </c>
      <c r="B13" s="47" t="s">
        <v>228</v>
      </c>
      <c r="C13" t="s">
        <v>178</v>
      </c>
      <c r="D13">
        <v>0</v>
      </c>
      <c r="H13">
        <v>15</v>
      </c>
      <c r="I13" s="36">
        <f>0/20</f>
        <v>0</v>
      </c>
      <c r="J13" s="36">
        <f>1-(SUM(I4:I12))</f>
        <v>4.9999999999999933E-2</v>
      </c>
    </row>
    <row r="14" spans="1:12" x14ac:dyDescent="0.25">
      <c r="A14">
        <v>10</v>
      </c>
      <c r="B14" s="47">
        <v>44144.523738425924</v>
      </c>
      <c r="C14" t="s">
        <v>179</v>
      </c>
      <c r="D14">
        <v>17</v>
      </c>
      <c r="H14">
        <v>17</v>
      </c>
      <c r="I14" s="36">
        <f>1/20</f>
        <v>0.05</v>
      </c>
      <c r="J14" s="36">
        <f>1-(SUM(I4:I13))</f>
        <v>4.9999999999999933E-2</v>
      </c>
    </row>
    <row r="15" spans="1:12" x14ac:dyDescent="0.25">
      <c r="A15">
        <v>11</v>
      </c>
      <c r="B15" s="47">
        <v>44144.475821759261</v>
      </c>
      <c r="C15" t="s">
        <v>179</v>
      </c>
      <c r="D15">
        <v>3</v>
      </c>
      <c r="I15" s="36">
        <f>SUM(I5:I14)</f>
        <v>0.85000000000000009</v>
      </c>
    </row>
    <row r="16" spans="1:12" x14ac:dyDescent="0.25">
      <c r="A16">
        <v>12</v>
      </c>
      <c r="B16" s="47">
        <v>44144.46193287037</v>
      </c>
      <c r="C16" t="s">
        <v>178</v>
      </c>
      <c r="D16">
        <v>0</v>
      </c>
    </row>
    <row r="17" spans="1:10" x14ac:dyDescent="0.25">
      <c r="A17">
        <v>13</v>
      </c>
      <c r="B17" s="47">
        <v>44144.44804398148</v>
      </c>
      <c r="C17" t="s">
        <v>178</v>
      </c>
      <c r="D17">
        <v>2</v>
      </c>
    </row>
    <row r="18" spans="1:10" x14ac:dyDescent="0.25">
      <c r="A18">
        <v>14</v>
      </c>
      <c r="B18" s="47">
        <v>44144.438321759262</v>
      </c>
      <c r="C18" t="s">
        <v>179</v>
      </c>
      <c r="D18">
        <v>3</v>
      </c>
      <c r="I18" t="s">
        <v>242</v>
      </c>
    </row>
    <row r="19" spans="1:10" x14ac:dyDescent="0.25">
      <c r="A19">
        <v>15</v>
      </c>
      <c r="B19" s="47">
        <v>44144.427905092591</v>
      </c>
      <c r="C19" t="s">
        <v>178</v>
      </c>
      <c r="D19">
        <v>3</v>
      </c>
      <c r="J19">
        <f>0.85*20-0.15*30</f>
        <v>12.5</v>
      </c>
    </row>
    <row r="20" spans="1:10" x14ac:dyDescent="0.25">
      <c r="A20">
        <v>16</v>
      </c>
      <c r="B20" s="47">
        <v>44144.425127314818</v>
      </c>
      <c r="C20" t="s">
        <v>179</v>
      </c>
      <c r="D20">
        <v>0</v>
      </c>
    </row>
    <row r="21" spans="1:10" x14ac:dyDescent="0.25">
      <c r="A21">
        <v>17</v>
      </c>
      <c r="B21" s="47">
        <v>44144.420266203706</v>
      </c>
      <c r="C21" t="s">
        <v>178</v>
      </c>
      <c r="D21">
        <v>2</v>
      </c>
    </row>
    <row r="22" spans="1:10" x14ac:dyDescent="0.25">
      <c r="A22">
        <v>18</v>
      </c>
      <c r="B22" s="47">
        <v>44144.405682870369</v>
      </c>
      <c r="C22" t="s">
        <v>178</v>
      </c>
      <c r="D22">
        <v>2</v>
      </c>
    </row>
    <row r="23" spans="1:10" x14ac:dyDescent="0.25">
      <c r="A23">
        <v>19</v>
      </c>
      <c r="B23" s="47">
        <v>44144.397349537037</v>
      </c>
      <c r="C23" t="s">
        <v>179</v>
      </c>
      <c r="D23">
        <v>3</v>
      </c>
      <c r="F23" t="s">
        <v>229</v>
      </c>
      <c r="H23" t="s">
        <v>231</v>
      </c>
    </row>
    <row r="24" spans="1:10" x14ac:dyDescent="0.25">
      <c r="A24">
        <v>20</v>
      </c>
      <c r="B24" s="47">
        <v>44144.314016203702</v>
      </c>
      <c r="C24" t="s">
        <v>179</v>
      </c>
      <c r="D24">
        <v>4</v>
      </c>
      <c r="G24">
        <f>17/20</f>
        <v>0.85</v>
      </c>
    </row>
    <row r="25" spans="1:10" x14ac:dyDescent="0.25">
      <c r="A25">
        <v>21</v>
      </c>
      <c r="B25" s="47">
        <v>44144.1952662037</v>
      </c>
      <c r="C25" t="s">
        <v>178</v>
      </c>
      <c r="D25">
        <v>2</v>
      </c>
    </row>
    <row r="26" spans="1:10" x14ac:dyDescent="0.25">
      <c r="A26">
        <v>22</v>
      </c>
      <c r="B26" s="47">
        <v>44144.139710648145</v>
      </c>
      <c r="C26" t="s">
        <v>178</v>
      </c>
      <c r="D26">
        <v>1</v>
      </c>
    </row>
    <row r="27" spans="1:10" x14ac:dyDescent="0.25">
      <c r="A27">
        <v>23</v>
      </c>
      <c r="B27" s="47" t="s">
        <v>232</v>
      </c>
      <c r="C27" t="s">
        <v>178</v>
      </c>
      <c r="D27">
        <v>9</v>
      </c>
    </row>
    <row r="28" spans="1:10" x14ac:dyDescent="0.25">
      <c r="A28">
        <v>24</v>
      </c>
      <c r="B28" s="47" t="s">
        <v>233</v>
      </c>
      <c r="C28" t="s">
        <v>179</v>
      </c>
      <c r="D28">
        <v>5</v>
      </c>
      <c r="F28" t="s">
        <v>229</v>
      </c>
      <c r="H28" t="s">
        <v>235</v>
      </c>
    </row>
    <row r="29" spans="1:10" x14ac:dyDescent="0.25">
      <c r="A29">
        <v>25</v>
      </c>
      <c r="B29" s="47" t="s">
        <v>234</v>
      </c>
      <c r="C29" t="s">
        <v>178</v>
      </c>
      <c r="D29">
        <v>3</v>
      </c>
      <c r="G29">
        <f>22/25</f>
        <v>0.88</v>
      </c>
    </row>
    <row r="30" spans="1:10" x14ac:dyDescent="0.25">
      <c r="A30">
        <v>26</v>
      </c>
      <c r="B30" s="47" t="s">
        <v>234</v>
      </c>
      <c r="C30" t="s">
        <v>179</v>
      </c>
      <c r="D30">
        <v>6</v>
      </c>
    </row>
    <row r="31" spans="1:10" x14ac:dyDescent="0.25">
      <c r="A31">
        <v>27</v>
      </c>
      <c r="B31" s="47" t="s">
        <v>236</v>
      </c>
      <c r="C31" t="s">
        <v>178</v>
      </c>
      <c r="D31">
        <v>0</v>
      </c>
      <c r="F31" t="s">
        <v>229</v>
      </c>
      <c r="H31" t="s">
        <v>237</v>
      </c>
    </row>
    <row r="32" spans="1:10" x14ac:dyDescent="0.25">
      <c r="B32" s="47" t="s">
        <v>238</v>
      </c>
      <c r="C32" t="s">
        <v>178</v>
      </c>
      <c r="D32">
        <v>1</v>
      </c>
      <c r="G32">
        <f>23/27</f>
        <v>0.85185185185185186</v>
      </c>
    </row>
    <row r="33" spans="1:8" x14ac:dyDescent="0.25">
      <c r="B33" s="47" t="s">
        <v>239</v>
      </c>
      <c r="C33" t="s">
        <v>179</v>
      </c>
      <c r="D33">
        <v>10</v>
      </c>
      <c r="F33" t="s">
        <v>229</v>
      </c>
      <c r="H33" t="s">
        <v>241</v>
      </c>
    </row>
    <row r="34" spans="1:8" x14ac:dyDescent="0.25">
      <c r="B34" s="47" t="s">
        <v>240</v>
      </c>
      <c r="C34" t="s">
        <v>178</v>
      </c>
      <c r="D34">
        <v>3</v>
      </c>
      <c r="G34">
        <f>26/30</f>
        <v>0.8666666666666667</v>
      </c>
    </row>
    <row r="37" spans="1:8" x14ac:dyDescent="0.25">
      <c r="A37" t="s">
        <v>243</v>
      </c>
    </row>
    <row r="38" spans="1:8" x14ac:dyDescent="0.25">
      <c r="A38" t="s">
        <v>244</v>
      </c>
    </row>
    <row r="39" spans="1:8" x14ac:dyDescent="0.25">
      <c r="A39" t="s">
        <v>245</v>
      </c>
    </row>
    <row r="40" spans="1:8" x14ac:dyDescent="0.25">
      <c r="A40" t="s">
        <v>246</v>
      </c>
    </row>
    <row r="41" spans="1:8" x14ac:dyDescent="0.25">
      <c r="A41" t="s">
        <v>247</v>
      </c>
    </row>
    <row r="42" spans="1:8" x14ac:dyDescent="0.25">
      <c r="A42" t="s">
        <v>253</v>
      </c>
    </row>
    <row r="43" spans="1:8" x14ac:dyDescent="0.25">
      <c r="A43" t="s">
        <v>254</v>
      </c>
    </row>
    <row r="44" spans="1:8" x14ac:dyDescent="0.25">
      <c r="A44" t="s">
        <v>248</v>
      </c>
    </row>
    <row r="45" spans="1:8" x14ac:dyDescent="0.25">
      <c r="A45" t="s">
        <v>249</v>
      </c>
    </row>
    <row r="46" spans="1:8" x14ac:dyDescent="0.25">
      <c r="A46" t="s">
        <v>250</v>
      </c>
    </row>
    <row r="47" spans="1:8" x14ac:dyDescent="0.25">
      <c r="A47" t="s">
        <v>251</v>
      </c>
    </row>
    <row r="48" spans="1:8" x14ac:dyDescent="0.25">
      <c r="A48" t="s">
        <v>252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L50"/>
  <sheetViews>
    <sheetView topLeftCell="B10" workbookViewId="0">
      <selection activeCell="I21" sqref="I21"/>
    </sheetView>
  </sheetViews>
  <sheetFormatPr baseColWidth="10" defaultRowHeight="15" x14ac:dyDescent="0.25"/>
  <cols>
    <col min="2" max="2" width="20.85546875" customWidth="1"/>
    <col min="4" max="4" width="20" customWidth="1"/>
    <col min="8" max="8" width="28.5703125" customWidth="1"/>
    <col min="9" max="9" width="17.85546875" customWidth="1"/>
    <col min="10" max="10" width="16.42578125" customWidth="1"/>
  </cols>
  <sheetData>
    <row r="3" spans="1:12" x14ac:dyDescent="0.25">
      <c r="H3" t="s">
        <v>212</v>
      </c>
      <c r="I3" s="46" t="s">
        <v>213</v>
      </c>
      <c r="J3" s="46" t="s">
        <v>214</v>
      </c>
    </row>
    <row r="4" spans="1:12" x14ac:dyDescent="0.25">
      <c r="B4" t="s">
        <v>196</v>
      </c>
      <c r="C4" t="s">
        <v>139</v>
      </c>
      <c r="D4" t="s">
        <v>224</v>
      </c>
      <c r="H4">
        <v>0</v>
      </c>
      <c r="I4" s="36"/>
    </row>
    <row r="5" spans="1:12" x14ac:dyDescent="0.25">
      <c r="A5">
        <v>1</v>
      </c>
      <c r="B5" t="s">
        <v>255</v>
      </c>
      <c r="C5" t="s">
        <v>178</v>
      </c>
      <c r="D5">
        <v>2</v>
      </c>
      <c r="H5">
        <v>1</v>
      </c>
      <c r="I5" s="36"/>
      <c r="J5" s="36"/>
    </row>
    <row r="6" spans="1:12" x14ac:dyDescent="0.25">
      <c r="A6">
        <v>2</v>
      </c>
      <c r="B6" t="s">
        <v>256</v>
      </c>
      <c r="C6" t="s">
        <v>178</v>
      </c>
      <c r="D6">
        <v>7</v>
      </c>
      <c r="H6">
        <v>2</v>
      </c>
      <c r="I6" s="36"/>
      <c r="J6" s="36"/>
    </row>
    <row r="7" spans="1:12" x14ac:dyDescent="0.25">
      <c r="A7">
        <v>3</v>
      </c>
      <c r="B7" t="s">
        <v>257</v>
      </c>
      <c r="C7" t="s">
        <v>178</v>
      </c>
      <c r="D7">
        <v>7</v>
      </c>
      <c r="H7">
        <v>3</v>
      </c>
      <c r="I7" s="36"/>
      <c r="J7" s="36"/>
    </row>
    <row r="8" spans="1:12" x14ac:dyDescent="0.25">
      <c r="A8">
        <v>4</v>
      </c>
      <c r="B8" t="s">
        <v>258</v>
      </c>
      <c r="C8" t="s">
        <v>178</v>
      </c>
      <c r="D8">
        <v>1</v>
      </c>
      <c r="H8">
        <v>4</v>
      </c>
      <c r="I8" s="36"/>
      <c r="J8" s="36"/>
    </row>
    <row r="9" spans="1:12" x14ac:dyDescent="0.25">
      <c r="A9">
        <v>5</v>
      </c>
      <c r="B9" s="49">
        <v>44144.647916666669</v>
      </c>
      <c r="C9" t="s">
        <v>178</v>
      </c>
      <c r="D9">
        <v>0</v>
      </c>
      <c r="H9">
        <v>5</v>
      </c>
      <c r="I9" s="36"/>
      <c r="J9" s="36"/>
      <c r="L9" t="s">
        <v>230</v>
      </c>
    </row>
    <row r="10" spans="1:12" x14ac:dyDescent="0.25">
      <c r="A10">
        <v>6</v>
      </c>
      <c r="B10" s="49" t="s">
        <v>259</v>
      </c>
      <c r="C10" t="s">
        <v>178</v>
      </c>
      <c r="D10">
        <v>2</v>
      </c>
      <c r="H10">
        <v>6</v>
      </c>
      <c r="I10" s="36"/>
      <c r="J10" s="36"/>
      <c r="L10">
        <f>0.85*20-0.15*20</f>
        <v>14</v>
      </c>
    </row>
    <row r="11" spans="1:12" x14ac:dyDescent="0.25">
      <c r="A11">
        <v>7</v>
      </c>
      <c r="B11" s="49" t="s">
        <v>260</v>
      </c>
      <c r="C11" t="s">
        <v>178</v>
      </c>
      <c r="D11">
        <v>10</v>
      </c>
      <c r="H11">
        <v>7</v>
      </c>
      <c r="I11" s="36"/>
      <c r="J11" s="36"/>
    </row>
    <row r="12" spans="1:12" x14ac:dyDescent="0.25">
      <c r="A12">
        <v>8</v>
      </c>
      <c r="B12" s="49" t="s">
        <v>261</v>
      </c>
      <c r="C12" t="s">
        <v>178</v>
      </c>
      <c r="D12">
        <v>4</v>
      </c>
      <c r="H12">
        <v>13</v>
      </c>
      <c r="I12" s="36"/>
      <c r="J12" s="36"/>
    </row>
    <row r="13" spans="1:12" x14ac:dyDescent="0.25">
      <c r="A13">
        <v>9</v>
      </c>
      <c r="B13" s="49" t="s">
        <v>262</v>
      </c>
      <c r="C13" t="s">
        <v>179</v>
      </c>
      <c r="D13">
        <v>0</v>
      </c>
      <c r="H13">
        <v>15</v>
      </c>
      <c r="I13" s="36"/>
      <c r="J13" s="36"/>
    </row>
    <row r="14" spans="1:12" x14ac:dyDescent="0.25">
      <c r="A14">
        <v>10</v>
      </c>
      <c r="B14" s="49" t="s">
        <v>263</v>
      </c>
      <c r="C14" t="s">
        <v>179</v>
      </c>
      <c r="D14">
        <v>2</v>
      </c>
      <c r="H14">
        <v>17</v>
      </c>
      <c r="I14" s="36"/>
      <c r="J14" s="36"/>
    </row>
    <row r="15" spans="1:12" x14ac:dyDescent="0.25">
      <c r="A15">
        <v>11</v>
      </c>
      <c r="B15" s="49" t="s">
        <v>264</v>
      </c>
      <c r="C15" t="s">
        <v>179</v>
      </c>
      <c r="D15">
        <v>7</v>
      </c>
      <c r="I15" s="36"/>
    </row>
    <row r="16" spans="1:12" x14ac:dyDescent="0.25">
      <c r="A16">
        <v>12</v>
      </c>
      <c r="B16" s="49">
        <v>44113.447916666664</v>
      </c>
      <c r="C16" t="s">
        <v>179</v>
      </c>
      <c r="D16">
        <v>10</v>
      </c>
    </row>
    <row r="17" spans="1:8" x14ac:dyDescent="0.25">
      <c r="A17">
        <v>13</v>
      </c>
      <c r="B17" s="49">
        <v>44113.361111111109</v>
      </c>
      <c r="C17" t="s">
        <v>178</v>
      </c>
      <c r="D17">
        <v>17</v>
      </c>
    </row>
    <row r="18" spans="1:8" x14ac:dyDescent="0.25">
      <c r="A18">
        <v>14</v>
      </c>
      <c r="B18" s="49">
        <v>44113.167361111111</v>
      </c>
      <c r="C18" t="s">
        <v>179</v>
      </c>
      <c r="D18">
        <v>2</v>
      </c>
      <c r="F18" t="s">
        <v>229</v>
      </c>
      <c r="H18" t="s">
        <v>266</v>
      </c>
    </row>
    <row r="19" spans="1:8" x14ac:dyDescent="0.25">
      <c r="A19">
        <v>15</v>
      </c>
      <c r="B19" s="49" t="s">
        <v>265</v>
      </c>
      <c r="C19" t="s">
        <v>179</v>
      </c>
      <c r="D19">
        <v>0</v>
      </c>
      <c r="G19">
        <f>12/15</f>
        <v>0.8</v>
      </c>
    </row>
    <row r="20" spans="1:8" x14ac:dyDescent="0.25">
      <c r="A20">
        <v>16</v>
      </c>
      <c r="B20" s="47"/>
    </row>
    <row r="21" spans="1:8" x14ac:dyDescent="0.25">
      <c r="A21">
        <v>17</v>
      </c>
      <c r="B21" s="47"/>
    </row>
    <row r="22" spans="1:8" x14ac:dyDescent="0.25">
      <c r="A22">
        <v>18</v>
      </c>
      <c r="B22" s="47"/>
    </row>
    <row r="23" spans="1:8" x14ac:dyDescent="0.25">
      <c r="A23">
        <v>19</v>
      </c>
      <c r="B23" s="47"/>
      <c r="F23" t="s">
        <v>229</v>
      </c>
      <c r="H23" t="s">
        <v>231</v>
      </c>
    </row>
    <row r="24" spans="1:8" x14ac:dyDescent="0.25">
      <c r="A24">
        <v>20</v>
      </c>
      <c r="B24" s="47"/>
      <c r="G24">
        <f>17/20</f>
        <v>0.85</v>
      </c>
    </row>
    <row r="25" spans="1:8" x14ac:dyDescent="0.25">
      <c r="A25">
        <v>21</v>
      </c>
      <c r="B25" s="47"/>
    </row>
    <row r="26" spans="1:8" x14ac:dyDescent="0.25">
      <c r="A26">
        <v>22</v>
      </c>
      <c r="B26" s="47"/>
    </row>
    <row r="27" spans="1:8" x14ac:dyDescent="0.25">
      <c r="A27">
        <v>23</v>
      </c>
      <c r="B27" s="47"/>
    </row>
    <row r="28" spans="1:8" x14ac:dyDescent="0.25">
      <c r="A28">
        <v>24</v>
      </c>
      <c r="B28" s="47"/>
      <c r="F28" t="s">
        <v>229</v>
      </c>
      <c r="H28" t="s">
        <v>235</v>
      </c>
    </row>
    <row r="29" spans="1:8" x14ac:dyDescent="0.25">
      <c r="A29">
        <v>25</v>
      </c>
      <c r="B29" s="47"/>
      <c r="G29">
        <f>22/25</f>
        <v>0.88</v>
      </c>
    </row>
    <row r="30" spans="1:8" x14ac:dyDescent="0.25">
      <c r="A30">
        <v>26</v>
      </c>
      <c r="B30" s="47"/>
    </row>
    <row r="31" spans="1:8" x14ac:dyDescent="0.25">
      <c r="A31">
        <v>27</v>
      </c>
      <c r="B31" s="47"/>
      <c r="F31" t="s">
        <v>229</v>
      </c>
      <c r="H31" t="s">
        <v>237</v>
      </c>
    </row>
    <row r="32" spans="1:8" x14ac:dyDescent="0.25">
      <c r="B32" s="47"/>
      <c r="G32">
        <f>23/27</f>
        <v>0.85185185185185186</v>
      </c>
    </row>
    <row r="33" spans="1:8" x14ac:dyDescent="0.25">
      <c r="B33" s="47"/>
      <c r="F33" t="s">
        <v>229</v>
      </c>
      <c r="H33" t="s">
        <v>241</v>
      </c>
    </row>
    <row r="34" spans="1:8" x14ac:dyDescent="0.25">
      <c r="B34" s="47"/>
      <c r="G34">
        <f>26/30</f>
        <v>0.8666666666666667</v>
      </c>
    </row>
    <row r="37" spans="1:8" x14ac:dyDescent="0.25">
      <c r="A37" t="s">
        <v>243</v>
      </c>
    </row>
    <row r="38" spans="1:8" x14ac:dyDescent="0.25">
      <c r="A38" t="s">
        <v>244</v>
      </c>
    </row>
    <row r="39" spans="1:8" x14ac:dyDescent="0.25">
      <c r="A39" t="s">
        <v>245</v>
      </c>
    </row>
    <row r="40" spans="1:8" x14ac:dyDescent="0.25">
      <c r="A40" t="s">
        <v>246</v>
      </c>
    </row>
    <row r="41" spans="1:8" x14ac:dyDescent="0.25">
      <c r="A41" t="s">
        <v>247</v>
      </c>
    </row>
    <row r="42" spans="1:8" x14ac:dyDescent="0.25">
      <c r="A42" t="s">
        <v>253</v>
      </c>
    </row>
    <row r="43" spans="1:8" x14ac:dyDescent="0.25">
      <c r="A43" t="s">
        <v>254</v>
      </c>
    </row>
    <row r="44" spans="1:8" x14ac:dyDescent="0.25">
      <c r="A44" t="s">
        <v>248</v>
      </c>
    </row>
    <row r="45" spans="1:8" x14ac:dyDescent="0.25">
      <c r="A45" t="s">
        <v>249</v>
      </c>
    </row>
    <row r="46" spans="1:8" x14ac:dyDescent="0.25">
      <c r="A46" t="s">
        <v>250</v>
      </c>
    </row>
    <row r="47" spans="1:8" x14ac:dyDescent="0.25">
      <c r="A47" t="s">
        <v>251</v>
      </c>
    </row>
    <row r="48" spans="1:8" x14ac:dyDescent="0.25">
      <c r="A48" t="s">
        <v>252</v>
      </c>
    </row>
    <row r="49" spans="2:6" x14ac:dyDescent="0.25">
      <c r="B49" s="1">
        <v>14</v>
      </c>
      <c r="C49" s="1">
        <f t="shared" ref="C49:C50" si="0">0.5*B49</f>
        <v>7</v>
      </c>
      <c r="D49" s="1">
        <v>20</v>
      </c>
      <c r="E49" s="1">
        <f t="shared" ref="E49:E50" si="1">0.5*D49</f>
        <v>10</v>
      </c>
      <c r="F49" s="50">
        <f t="shared" ref="F49:F50" si="2">E49/(C49+E49)</f>
        <v>0.58823529411764708</v>
      </c>
    </row>
    <row r="50" spans="2:6" x14ac:dyDescent="0.25">
      <c r="B50" s="1">
        <v>28</v>
      </c>
      <c r="C50" s="1">
        <f t="shared" si="0"/>
        <v>14</v>
      </c>
      <c r="D50" s="1">
        <v>20</v>
      </c>
      <c r="E50" s="1">
        <f t="shared" si="1"/>
        <v>10</v>
      </c>
      <c r="F50" s="50">
        <f t="shared" si="2"/>
        <v>0.41666666666666669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30"/>
  <sheetViews>
    <sheetView topLeftCell="A10" workbookViewId="0">
      <selection activeCell="F24" sqref="F24:J26"/>
    </sheetView>
  </sheetViews>
  <sheetFormatPr baseColWidth="10" defaultRowHeight="15" x14ac:dyDescent="0.25"/>
  <cols>
    <col min="1" max="1" width="35.5703125" customWidth="1"/>
    <col min="2" max="2" width="11.42578125" customWidth="1"/>
    <col min="4" max="4" width="13" customWidth="1"/>
    <col min="13" max="13" width="12.28515625" customWidth="1"/>
  </cols>
  <sheetData>
    <row r="1" spans="1:9" x14ac:dyDescent="0.25">
      <c r="A1" s="51" t="s">
        <v>144</v>
      </c>
      <c r="B1" s="51"/>
      <c r="C1" s="51"/>
      <c r="D1" s="51"/>
      <c r="E1" t="s">
        <v>94</v>
      </c>
      <c r="F1" t="s">
        <v>96</v>
      </c>
    </row>
    <row r="2" spans="1:9" ht="30" x14ac:dyDescent="0.25">
      <c r="A2" s="24"/>
      <c r="B2" s="24"/>
      <c r="C2" s="26" t="s">
        <v>126</v>
      </c>
      <c r="D2" s="25" t="s">
        <v>127</v>
      </c>
      <c r="F2" t="s">
        <v>97</v>
      </c>
    </row>
    <row r="3" spans="1:9" x14ac:dyDescent="0.25">
      <c r="A3" s="5" t="s">
        <v>40</v>
      </c>
      <c r="B3" s="6">
        <v>1</v>
      </c>
      <c r="C3" s="11">
        <v>2007</v>
      </c>
      <c r="D3" s="5"/>
      <c r="E3">
        <v>0.4</v>
      </c>
      <c r="F3" t="s">
        <v>142</v>
      </c>
    </row>
    <row r="4" spans="1:9" x14ac:dyDescent="0.25">
      <c r="A4" s="5"/>
      <c r="B4" s="6"/>
      <c r="C4" s="5"/>
      <c r="D4" s="5"/>
      <c r="E4" s="1">
        <v>0.5</v>
      </c>
      <c r="F4" s="1" t="s">
        <v>143</v>
      </c>
    </row>
    <row r="5" spans="1:9" x14ac:dyDescent="0.25">
      <c r="A5" s="5" t="s">
        <v>41</v>
      </c>
      <c r="B5" s="8">
        <v>0.03</v>
      </c>
      <c r="C5" s="12">
        <f>C3*B5</f>
        <v>60.21</v>
      </c>
      <c r="D5" s="19">
        <f>C5-2*E3</f>
        <v>59.410000000000004</v>
      </c>
    </row>
    <row r="6" spans="1:9" x14ac:dyDescent="0.25">
      <c r="A6" s="5"/>
      <c r="B6" s="6"/>
      <c r="C6" s="5"/>
      <c r="D6" s="5"/>
    </row>
    <row r="7" spans="1:9" x14ac:dyDescent="0.25">
      <c r="A7" s="5" t="s">
        <v>43</v>
      </c>
      <c r="B7" s="8">
        <v>0.01</v>
      </c>
      <c r="C7" s="12">
        <f>C3*B7</f>
        <v>20.07</v>
      </c>
      <c r="D7" s="19">
        <f>C7+2*C13*E4</f>
        <v>21.07</v>
      </c>
      <c r="E7" s="22">
        <f>C7/0.5</f>
        <v>40.14</v>
      </c>
      <c r="F7" t="s">
        <v>120</v>
      </c>
    </row>
    <row r="8" spans="1:9" x14ac:dyDescent="0.25">
      <c r="A8" s="5"/>
      <c r="B8" s="6"/>
      <c r="C8" s="5"/>
      <c r="D8" s="5"/>
    </row>
    <row r="9" spans="1:9" x14ac:dyDescent="0.25">
      <c r="A9" s="5" t="s">
        <v>49</v>
      </c>
      <c r="B9" s="8">
        <v>0.1</v>
      </c>
      <c r="C9" s="12">
        <f>C3*B9</f>
        <v>200.70000000000002</v>
      </c>
      <c r="D9" s="5"/>
      <c r="E9" s="27" t="s">
        <v>128</v>
      </c>
      <c r="F9" s="27"/>
      <c r="G9" s="27"/>
      <c r="H9" s="27"/>
      <c r="I9" s="27"/>
    </row>
    <row r="10" spans="1:9" x14ac:dyDescent="0.25">
      <c r="A10" s="5"/>
      <c r="B10" s="6"/>
      <c r="C10" s="5"/>
      <c r="D10" s="5"/>
    </row>
    <row r="11" spans="1:9" x14ac:dyDescent="0.25">
      <c r="A11" s="5" t="s">
        <v>135</v>
      </c>
      <c r="B11" s="5"/>
      <c r="C11" s="11">
        <f>I11</f>
        <v>1563.3</v>
      </c>
      <c r="D11" s="5"/>
      <c r="F11" t="s">
        <v>137</v>
      </c>
      <c r="G11" s="16"/>
      <c r="I11" s="5">
        <v>1563.3</v>
      </c>
    </row>
    <row r="12" spans="1:9" x14ac:dyDescent="0.25">
      <c r="A12" s="5"/>
      <c r="B12" s="5"/>
      <c r="C12" s="5"/>
      <c r="D12" s="5"/>
    </row>
    <row r="13" spans="1:9" x14ac:dyDescent="0.25">
      <c r="A13" s="5" t="s">
        <v>47</v>
      </c>
      <c r="B13" s="5"/>
      <c r="C13" s="11">
        <v>1</v>
      </c>
      <c r="D13" s="5"/>
      <c r="F13" t="s">
        <v>138</v>
      </c>
      <c r="I13" s="5">
        <v>1582.1</v>
      </c>
    </row>
    <row r="14" spans="1:9" x14ac:dyDescent="0.25">
      <c r="A14" s="5"/>
      <c r="B14" s="5"/>
      <c r="C14" s="5"/>
      <c r="D14" s="5"/>
    </row>
    <row r="15" spans="1:9" x14ac:dyDescent="0.25">
      <c r="A15" s="5" t="s">
        <v>48</v>
      </c>
      <c r="B15" s="21">
        <f>D15/C3</f>
        <v>0.31340308918784254</v>
      </c>
      <c r="C15" s="11">
        <f>C13*628</f>
        <v>628</v>
      </c>
      <c r="D15" s="19">
        <f>C15+2*C13*E4</f>
        <v>629</v>
      </c>
      <c r="F15" t="s">
        <v>139</v>
      </c>
      <c r="G15" s="34">
        <v>1</v>
      </c>
      <c r="H15" s="34">
        <v>2</v>
      </c>
      <c r="I15" s="5">
        <v>1</v>
      </c>
    </row>
    <row r="16" spans="1:9" ht="33" customHeight="1" x14ac:dyDescent="0.25">
      <c r="A16" s="5"/>
      <c r="B16" s="31" t="s">
        <v>132</v>
      </c>
      <c r="C16" s="5"/>
      <c r="D16" s="31" t="s">
        <v>131</v>
      </c>
      <c r="G16" s="34" t="s">
        <v>140</v>
      </c>
      <c r="H16" s="34" t="s">
        <v>141</v>
      </c>
      <c r="I16" s="28">
        <f>IF(I15=1,1,-1)</f>
        <v>1</v>
      </c>
    </row>
    <row r="17" spans="1:10" x14ac:dyDescent="0.25">
      <c r="A17" s="5" t="s">
        <v>130</v>
      </c>
      <c r="B17" s="30">
        <f>(I16*(C17-C11)*10*0.5-2*E4)/C15</f>
        <v>0.14808917197452193</v>
      </c>
      <c r="C17" s="10">
        <f>I13</f>
        <v>1582.1</v>
      </c>
      <c r="D17" s="30">
        <f>B18/C3</f>
        <v>4.6337817638265957E-2</v>
      </c>
      <c r="F17" t="s">
        <v>134</v>
      </c>
    </row>
    <row r="18" spans="1:10" x14ac:dyDescent="0.25">
      <c r="A18" s="5"/>
      <c r="B18" s="32">
        <f>B17*C15</f>
        <v>92.999999999999773</v>
      </c>
      <c r="C18" s="5"/>
      <c r="D18" s="5"/>
    </row>
    <row r="19" spans="1:10" x14ac:dyDescent="0.25">
      <c r="A19" s="5" t="s">
        <v>121</v>
      </c>
      <c r="B19" s="29">
        <v>0</v>
      </c>
      <c r="C19" s="17">
        <f>C11+2*E4</f>
        <v>1564.3</v>
      </c>
      <c r="D19" s="28" t="s">
        <v>133</v>
      </c>
    </row>
    <row r="20" spans="1:10" x14ac:dyDescent="0.25">
      <c r="A20" s="5"/>
      <c r="B20" s="28" t="s">
        <v>133</v>
      </c>
      <c r="C20" s="5"/>
      <c r="D20" s="5"/>
      <c r="F20" t="s">
        <v>136</v>
      </c>
      <c r="G20" s="23"/>
      <c r="J20" s="23"/>
    </row>
    <row r="21" spans="1:10" x14ac:dyDescent="0.25">
      <c r="A21" s="5" t="s">
        <v>122</v>
      </c>
      <c r="B21" s="30">
        <f>(I16*(C21-C11)*10*0.5-2*E4)/C15</f>
        <v>-0.21815286624203495</v>
      </c>
      <c r="C21" s="17">
        <f>2.5*C11-1.5*C17+2*E4</f>
        <v>1536.1000000000004</v>
      </c>
      <c r="D21" s="30">
        <f>B22/C3</f>
        <v>-6.8261086198304913E-2</v>
      </c>
    </row>
    <row r="22" spans="1:10" x14ac:dyDescent="0.25">
      <c r="A22" s="5"/>
      <c r="B22" s="32">
        <f>B21*C15</f>
        <v>-136.99999999999795</v>
      </c>
      <c r="C22" s="5"/>
      <c r="D22" s="5"/>
    </row>
    <row r="23" spans="1:10" x14ac:dyDescent="0.25">
      <c r="A23" s="5" t="s">
        <v>123</v>
      </c>
      <c r="B23" s="30">
        <f>(I16*(C23-C11)*10*0.5-2*E4)/C15</f>
        <v>-0.29299363057324951</v>
      </c>
      <c r="C23" s="17">
        <f>3*C11-2*C17+2*E4</f>
        <v>1526.6999999999998</v>
      </c>
      <c r="D23" s="30">
        <f>B24/C3</f>
        <v>-9.1679123069257934E-2</v>
      </c>
    </row>
    <row r="24" spans="1:10" x14ac:dyDescent="0.25">
      <c r="A24" s="5"/>
      <c r="B24" s="32">
        <f>B23*C15</f>
        <v>-184.00000000000068</v>
      </c>
      <c r="C24" s="5"/>
      <c r="D24" s="5"/>
    </row>
    <row r="25" spans="1:10" x14ac:dyDescent="0.25">
      <c r="A25" s="5" t="s">
        <v>124</v>
      </c>
      <c r="B25" s="30">
        <f>(I16*(C25-C11)*10*0.5-2*E4)/C15</f>
        <v>-0.3678343949044568</v>
      </c>
      <c r="C25" s="17">
        <f>3.5*C11-2.5*C17+2*E4</f>
        <v>1517.3000000000002</v>
      </c>
      <c r="D25" s="30">
        <f>B26/C3</f>
        <v>-0.11509715994020871</v>
      </c>
    </row>
    <row r="26" spans="1:10" x14ac:dyDescent="0.25">
      <c r="A26" s="5"/>
      <c r="B26" s="32">
        <f>B25*C15</f>
        <v>-230.99999999999886</v>
      </c>
      <c r="C26" s="5"/>
      <c r="D26" s="5"/>
    </row>
    <row r="27" spans="1:10" x14ac:dyDescent="0.25">
      <c r="A27" s="5" t="s">
        <v>125</v>
      </c>
      <c r="B27" s="30">
        <f>(I16*(C27-C11)*10*0.5-2*E4)/C15</f>
        <v>-0.44267515923566408</v>
      </c>
      <c r="C27" s="17">
        <f>4*C11-3*C17+2*E4</f>
        <v>1507.9000000000005</v>
      </c>
      <c r="D27" s="30">
        <f>B28/C3</f>
        <v>-0.13851519681115945</v>
      </c>
    </row>
    <row r="28" spans="1:10" x14ac:dyDescent="0.25">
      <c r="A28" s="5"/>
      <c r="B28" s="32">
        <f>B27*C15</f>
        <v>-277.99999999999704</v>
      </c>
      <c r="C28" s="5"/>
      <c r="D28" s="5"/>
    </row>
    <row r="30" spans="1:10" x14ac:dyDescent="0.25">
      <c r="A30" t="s">
        <v>129</v>
      </c>
    </row>
  </sheetData>
  <mergeCells count="1">
    <mergeCell ref="A1:D1"/>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3"/>
  <sheetViews>
    <sheetView workbookViewId="0">
      <selection activeCell="I2" sqref="I2"/>
    </sheetView>
  </sheetViews>
  <sheetFormatPr baseColWidth="10" defaultRowHeight="15" x14ac:dyDescent="0.25"/>
  <cols>
    <col min="1" max="1" width="35.5703125" customWidth="1"/>
  </cols>
  <sheetData>
    <row r="1" spans="1:9" x14ac:dyDescent="0.25">
      <c r="A1" s="51" t="s">
        <v>51</v>
      </c>
      <c r="B1" s="51"/>
      <c r="C1" s="51"/>
      <c r="D1" s="51"/>
    </row>
    <row r="2" spans="1:9" x14ac:dyDescent="0.25">
      <c r="A2" s="5" t="s">
        <v>40</v>
      </c>
      <c r="B2" s="6">
        <v>1</v>
      </c>
      <c r="C2" s="11">
        <v>2000</v>
      </c>
      <c r="D2" s="5"/>
    </row>
    <row r="3" spans="1:9" x14ac:dyDescent="0.25">
      <c r="A3" s="5"/>
      <c r="B3" s="6"/>
      <c r="C3" s="5"/>
      <c r="D3" s="5"/>
    </row>
    <row r="4" spans="1:9" x14ac:dyDescent="0.25">
      <c r="A4" s="5" t="s">
        <v>41</v>
      </c>
      <c r="B4" s="8">
        <v>0.03</v>
      </c>
      <c r="C4" s="12">
        <f>C2*B4</f>
        <v>60</v>
      </c>
      <c r="D4" s="5"/>
    </row>
    <row r="5" spans="1:9" x14ac:dyDescent="0.25">
      <c r="A5" s="5"/>
      <c r="B5" s="6"/>
      <c r="C5" s="5"/>
      <c r="D5" s="5"/>
    </row>
    <row r="6" spans="1:9" x14ac:dyDescent="0.25">
      <c r="A6" s="5" t="s">
        <v>43</v>
      </c>
      <c r="B6" s="8">
        <v>0.01</v>
      </c>
      <c r="C6" s="12">
        <f>C2*B6</f>
        <v>20</v>
      </c>
      <c r="D6" s="5"/>
    </row>
    <row r="7" spans="1:9" x14ac:dyDescent="0.25">
      <c r="A7" s="5"/>
      <c r="B7" s="6"/>
      <c r="C7" s="5"/>
      <c r="D7" s="5"/>
    </row>
    <row r="8" spans="1:9" x14ac:dyDescent="0.25">
      <c r="A8" s="5" t="s">
        <v>49</v>
      </c>
      <c r="B8" s="8">
        <v>0.1</v>
      </c>
      <c r="C8" s="12">
        <f>C2*B8</f>
        <v>200</v>
      </c>
      <c r="D8" s="5"/>
    </row>
    <row r="9" spans="1:9" x14ac:dyDescent="0.25">
      <c r="A9" s="5"/>
      <c r="B9" s="6"/>
      <c r="C9" s="5"/>
      <c r="D9" s="5"/>
      <c r="I9" t="s">
        <v>65</v>
      </c>
    </row>
    <row r="10" spans="1:9" x14ac:dyDescent="0.25">
      <c r="A10" s="5" t="s">
        <v>39</v>
      </c>
      <c r="B10" s="5"/>
      <c r="C10" s="11">
        <v>0.42</v>
      </c>
      <c r="D10" s="5"/>
      <c r="G10" s="16">
        <f>C10*3</f>
        <v>1.26</v>
      </c>
      <c r="I10" t="s">
        <v>61</v>
      </c>
    </row>
    <row r="11" spans="1:9" x14ac:dyDescent="0.25">
      <c r="A11" s="5"/>
      <c r="B11" s="5"/>
      <c r="C11" s="5"/>
      <c r="D11" s="5"/>
      <c r="I11" t="s">
        <v>62</v>
      </c>
    </row>
    <row r="12" spans="1:9" x14ac:dyDescent="0.25">
      <c r="A12" s="5" t="s">
        <v>47</v>
      </c>
      <c r="B12" s="5"/>
      <c r="C12" s="7">
        <v>1</v>
      </c>
      <c r="D12" s="5"/>
      <c r="I12" t="s">
        <v>63</v>
      </c>
    </row>
    <row r="13" spans="1:9" x14ac:dyDescent="0.25">
      <c r="A13" s="5"/>
      <c r="B13" s="5"/>
      <c r="C13" s="5"/>
      <c r="D13" s="5"/>
      <c r="I13" t="s">
        <v>64</v>
      </c>
    </row>
    <row r="14" spans="1:9" x14ac:dyDescent="0.25">
      <c r="A14" s="5" t="s">
        <v>48</v>
      </c>
      <c r="B14" s="13">
        <f>C14/C2</f>
        <v>2.1000000000000001E-2</v>
      </c>
      <c r="C14" s="12">
        <f>C12*100*C10</f>
        <v>42</v>
      </c>
      <c r="D14" s="5"/>
      <c r="G14" s="16">
        <f>C14*3</f>
        <v>126</v>
      </c>
    </row>
    <row r="15" spans="1:9" x14ac:dyDescent="0.25">
      <c r="A15" s="5"/>
      <c r="B15" s="5"/>
      <c r="C15" s="5"/>
      <c r="D15" s="5"/>
    </row>
    <row r="16" spans="1:9" x14ac:dyDescent="0.25">
      <c r="A16" s="5" t="s">
        <v>45</v>
      </c>
      <c r="B16" s="5"/>
      <c r="C16" s="9">
        <f>(C10*C12*100+C4)/(C12*100)</f>
        <v>1.02</v>
      </c>
      <c r="D16" s="5"/>
    </row>
    <row r="17" spans="1:9" x14ac:dyDescent="0.25">
      <c r="A17" s="5"/>
      <c r="B17" s="5"/>
      <c r="C17" s="5"/>
      <c r="D17" s="5"/>
      <c r="I17" t="s">
        <v>66</v>
      </c>
    </row>
    <row r="18" spans="1:9" x14ac:dyDescent="0.25">
      <c r="A18" s="5" t="s">
        <v>46</v>
      </c>
      <c r="B18" s="5"/>
      <c r="C18" s="10">
        <f>(C10*C12*100-C6)/(C12*100)</f>
        <v>0.22</v>
      </c>
      <c r="D18" s="5"/>
      <c r="E18" t="s">
        <v>57</v>
      </c>
      <c r="I18" t="s">
        <v>67</v>
      </c>
    </row>
    <row r="19" spans="1:9" x14ac:dyDescent="0.25">
      <c r="A19" s="5"/>
      <c r="B19" s="5"/>
      <c r="C19" s="5"/>
      <c r="D19" s="5"/>
      <c r="I19" t="s">
        <v>68</v>
      </c>
    </row>
    <row r="20" spans="1:9" x14ac:dyDescent="0.25">
      <c r="I20" t="s">
        <v>69</v>
      </c>
    </row>
    <row r="21" spans="1:9" x14ac:dyDescent="0.25">
      <c r="A21" t="s">
        <v>58</v>
      </c>
      <c r="I21" t="s">
        <v>70</v>
      </c>
    </row>
    <row r="22" spans="1:9" x14ac:dyDescent="0.25">
      <c r="A22" t="s">
        <v>59</v>
      </c>
      <c r="I22" t="s">
        <v>71</v>
      </c>
    </row>
    <row r="23" spans="1:9" x14ac:dyDescent="0.25">
      <c r="A23" t="s">
        <v>60</v>
      </c>
    </row>
  </sheetData>
  <mergeCells count="1">
    <mergeCell ref="A1:D1"/>
  </mergeCells>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1"/>
  <sheetViews>
    <sheetView workbookViewId="0">
      <selection activeCell="A31" sqref="A31"/>
    </sheetView>
  </sheetViews>
  <sheetFormatPr baseColWidth="10" defaultRowHeight="15" x14ac:dyDescent="0.25"/>
  <cols>
    <col min="1" max="1" width="35.5703125" customWidth="1"/>
  </cols>
  <sheetData>
    <row r="1" spans="1:9" x14ac:dyDescent="0.25">
      <c r="A1" s="51" t="s">
        <v>51</v>
      </c>
      <c r="B1" s="51"/>
      <c r="C1" s="51"/>
      <c r="D1" s="51"/>
    </row>
    <row r="2" spans="1:9" x14ac:dyDescent="0.25">
      <c r="A2" s="5" t="s">
        <v>40</v>
      </c>
      <c r="B2" s="6">
        <v>1</v>
      </c>
      <c r="C2" s="11">
        <v>2000</v>
      </c>
      <c r="D2" s="5"/>
    </row>
    <row r="3" spans="1:9" x14ac:dyDescent="0.25">
      <c r="A3" s="5"/>
      <c r="B3" s="6"/>
      <c r="C3" s="5"/>
      <c r="D3" s="5"/>
    </row>
    <row r="4" spans="1:9" x14ac:dyDescent="0.25">
      <c r="A4" s="5" t="s">
        <v>73</v>
      </c>
      <c r="B4" s="8">
        <v>0.12</v>
      </c>
      <c r="C4" s="12">
        <f>C2*B4</f>
        <v>240</v>
      </c>
      <c r="D4" s="5"/>
    </row>
    <row r="5" spans="1:9" x14ac:dyDescent="0.25">
      <c r="A5" s="5"/>
      <c r="B5" s="6"/>
      <c r="C5" s="5"/>
      <c r="D5" s="5"/>
    </row>
    <row r="6" spans="1:9" x14ac:dyDescent="0.25">
      <c r="A6" s="5" t="s">
        <v>74</v>
      </c>
      <c r="B6" s="8">
        <v>0.04</v>
      </c>
      <c r="C6" s="12">
        <f>C2*B6</f>
        <v>80</v>
      </c>
      <c r="D6" s="5"/>
    </row>
    <row r="7" spans="1:9" x14ac:dyDescent="0.25">
      <c r="A7" s="5"/>
      <c r="B7" s="6"/>
      <c r="C7" s="5"/>
      <c r="D7" s="5"/>
    </row>
    <row r="8" spans="1:9" x14ac:dyDescent="0.25">
      <c r="A8" s="5" t="s">
        <v>49</v>
      </c>
      <c r="B8" s="8">
        <v>0.1</v>
      </c>
      <c r="C8" s="12">
        <f>C2*B8</f>
        <v>200</v>
      </c>
      <c r="D8" s="5"/>
    </row>
    <row r="9" spans="1:9" x14ac:dyDescent="0.25">
      <c r="A9" s="5"/>
      <c r="B9" s="6"/>
      <c r="C9" s="5"/>
      <c r="D9" s="5"/>
      <c r="I9" t="s">
        <v>65</v>
      </c>
    </row>
    <row r="10" spans="1:9" x14ac:dyDescent="0.25">
      <c r="A10" s="5" t="s">
        <v>39</v>
      </c>
      <c r="B10" s="5" t="s">
        <v>72</v>
      </c>
      <c r="C10" s="11">
        <v>0.42</v>
      </c>
      <c r="D10" s="5"/>
      <c r="G10" s="16"/>
      <c r="I10" t="s">
        <v>61</v>
      </c>
    </row>
    <row r="11" spans="1:9" x14ac:dyDescent="0.25">
      <c r="A11" s="5"/>
      <c r="B11" s="5"/>
      <c r="C11" s="5"/>
      <c r="D11" s="5"/>
      <c r="I11" t="s">
        <v>62</v>
      </c>
    </row>
    <row r="12" spans="1:9" x14ac:dyDescent="0.25">
      <c r="A12" s="5" t="s">
        <v>47</v>
      </c>
      <c r="B12" s="5"/>
      <c r="C12" s="7">
        <v>1</v>
      </c>
      <c r="D12" s="5"/>
      <c r="I12" t="s">
        <v>63</v>
      </c>
    </row>
    <row r="13" spans="1:9" x14ac:dyDescent="0.25">
      <c r="A13" s="5"/>
      <c r="B13" s="5"/>
      <c r="C13" s="5"/>
      <c r="D13" s="5"/>
      <c r="I13" t="s">
        <v>64</v>
      </c>
    </row>
    <row r="14" spans="1:9" x14ac:dyDescent="0.25">
      <c r="A14" s="5" t="s">
        <v>48</v>
      </c>
      <c r="B14" s="13">
        <f>C14/C2</f>
        <v>2.1000000000000001E-2</v>
      </c>
      <c r="C14" s="12">
        <f>C12*100*C10</f>
        <v>42</v>
      </c>
      <c r="D14" s="5"/>
      <c r="G14" s="16"/>
    </row>
    <row r="15" spans="1:9" x14ac:dyDescent="0.25">
      <c r="A15" s="5"/>
      <c r="B15" s="5"/>
      <c r="C15" s="5"/>
      <c r="D15" s="5"/>
    </row>
    <row r="16" spans="1:9" x14ac:dyDescent="0.25">
      <c r="A16" s="5" t="s">
        <v>45</v>
      </c>
      <c r="B16" s="13">
        <f>C16/C2</f>
        <v>6.3E-2</v>
      </c>
      <c r="C16" s="17">
        <f>C14*3</f>
        <v>126</v>
      </c>
      <c r="D16" s="5"/>
    </row>
    <row r="17" spans="1:9" x14ac:dyDescent="0.25">
      <c r="A17" s="5"/>
      <c r="B17" s="13" t="s">
        <v>72</v>
      </c>
      <c r="C17" s="17">
        <f>C16/100</f>
        <v>1.26</v>
      </c>
      <c r="D17" s="5"/>
    </row>
    <row r="18" spans="1:9" x14ac:dyDescent="0.25">
      <c r="A18" s="5"/>
      <c r="B18" s="5"/>
      <c r="C18" s="5"/>
      <c r="D18" s="5"/>
      <c r="I18" t="s">
        <v>66</v>
      </c>
    </row>
    <row r="19" spans="1:9" x14ac:dyDescent="0.25">
      <c r="A19" s="5" t="s">
        <v>46</v>
      </c>
      <c r="B19" s="13">
        <f>C19/C2</f>
        <v>2.1000000000000001E-2</v>
      </c>
      <c r="C19" s="18">
        <f>C14</f>
        <v>42</v>
      </c>
      <c r="D19" s="5"/>
      <c r="I19" t="s">
        <v>67</v>
      </c>
    </row>
    <row r="20" spans="1:9" x14ac:dyDescent="0.25">
      <c r="A20" s="5"/>
      <c r="B20" s="13"/>
      <c r="C20" s="18"/>
      <c r="D20" s="5"/>
      <c r="I20" t="s">
        <v>68</v>
      </c>
    </row>
    <row r="21" spans="1:9" x14ac:dyDescent="0.25">
      <c r="A21" s="5"/>
      <c r="B21" s="5"/>
      <c r="C21" s="5"/>
      <c r="D21" s="5"/>
      <c r="I21" t="s">
        <v>69</v>
      </c>
    </row>
    <row r="22" spans="1:9" x14ac:dyDescent="0.25">
      <c r="I22" t="s">
        <v>70</v>
      </c>
    </row>
    <row r="23" spans="1:9" x14ac:dyDescent="0.25">
      <c r="A23" t="s">
        <v>58</v>
      </c>
      <c r="I23" t="s">
        <v>71</v>
      </c>
    </row>
    <row r="24" spans="1:9" x14ac:dyDescent="0.25">
      <c r="A24" t="s">
        <v>59</v>
      </c>
    </row>
    <row r="25" spans="1:9" x14ac:dyDescent="0.25">
      <c r="A25" t="s">
        <v>60</v>
      </c>
    </row>
    <row r="27" spans="1:9" x14ac:dyDescent="0.25">
      <c r="A27" t="s">
        <v>75</v>
      </c>
    </row>
    <row r="29" spans="1:9" x14ac:dyDescent="0.25">
      <c r="A29" t="s">
        <v>76</v>
      </c>
    </row>
    <row r="30" spans="1:9" x14ac:dyDescent="0.25">
      <c r="A30" t="s">
        <v>77</v>
      </c>
    </row>
    <row r="31" spans="1:9" x14ac:dyDescent="0.25">
      <c r="A31" t="s">
        <v>78</v>
      </c>
    </row>
  </sheetData>
  <mergeCells count="1">
    <mergeCell ref="A1:D1"/>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8"/>
  <sheetViews>
    <sheetView workbookViewId="0">
      <selection activeCell="G4" sqref="G4"/>
    </sheetView>
  </sheetViews>
  <sheetFormatPr baseColWidth="10" defaultRowHeight="15" x14ac:dyDescent="0.25"/>
  <cols>
    <col min="3" max="3" width="14" customWidth="1"/>
  </cols>
  <sheetData>
    <row r="1" spans="1:14" x14ac:dyDescent="0.25">
      <c r="C1" t="s">
        <v>1</v>
      </c>
    </row>
    <row r="2" spans="1:14" x14ac:dyDescent="0.25">
      <c r="A2" t="s">
        <v>0</v>
      </c>
    </row>
    <row r="3" spans="1:14" x14ac:dyDescent="0.25">
      <c r="A3">
        <v>5</v>
      </c>
      <c r="B3">
        <v>0.17</v>
      </c>
      <c r="D3">
        <v>675</v>
      </c>
      <c r="G3">
        <f>(D3+B3)*A3*100+5</f>
        <v>337590</v>
      </c>
      <c r="H3">
        <f>(B5-B3+D3)*A3*100+5</f>
        <v>337515</v>
      </c>
      <c r="I3">
        <f>G3+G5</f>
        <v>-12505</v>
      </c>
      <c r="K3">
        <f>H5+H3</f>
        <v>-12495</v>
      </c>
      <c r="N3">
        <f>(B5-B3+D5-D3)*A3*100</f>
        <v>12509.999999999991</v>
      </c>
    </row>
    <row r="5" spans="1:14" x14ac:dyDescent="0.25">
      <c r="B5">
        <v>0.19</v>
      </c>
      <c r="D5">
        <v>700</v>
      </c>
      <c r="G5">
        <f>-((B5+D5)*A3*100)</f>
        <v>-350095</v>
      </c>
      <c r="H5">
        <f>-(B5-B3+D5)*A3*100</f>
        <v>-350010</v>
      </c>
    </row>
    <row r="7" spans="1:14" x14ac:dyDescent="0.25">
      <c r="C7" t="s">
        <v>2</v>
      </c>
      <c r="G7">
        <f>D5-D3</f>
        <v>25</v>
      </c>
      <c r="J7">
        <f>(B5-B3+D5-D3)*5*100</f>
        <v>12509.999999999991</v>
      </c>
    </row>
    <row r="10" spans="1:14" x14ac:dyDescent="0.25">
      <c r="B10">
        <f>(B5-B3)*5*100</f>
        <v>9.9999999999999947</v>
      </c>
      <c r="D10">
        <v>40</v>
      </c>
      <c r="E10" t="s">
        <v>3</v>
      </c>
    </row>
    <row r="12" spans="1:14" x14ac:dyDescent="0.25">
      <c r="B12" s="1"/>
      <c r="C12" s="1"/>
      <c r="D12" s="1"/>
      <c r="E12" s="1"/>
      <c r="F12" s="1"/>
      <c r="G12" s="1"/>
      <c r="H12" s="1"/>
      <c r="I12" s="1"/>
      <c r="J12" s="1"/>
      <c r="K12" s="1"/>
      <c r="L12" s="1"/>
      <c r="M12" s="1"/>
    </row>
    <row r="13" spans="1:14" x14ac:dyDescent="0.25">
      <c r="B13" s="1"/>
      <c r="C13" s="1"/>
      <c r="D13" s="1"/>
      <c r="E13" s="1"/>
      <c r="F13" s="1"/>
      <c r="G13" s="1"/>
      <c r="H13" s="1"/>
      <c r="I13" s="1"/>
      <c r="J13" s="1"/>
      <c r="K13" s="1"/>
      <c r="L13" s="1"/>
      <c r="M13" s="1"/>
    </row>
    <row r="15" spans="1:14" x14ac:dyDescent="0.25">
      <c r="B15">
        <v>0.04</v>
      </c>
      <c r="D15">
        <v>520</v>
      </c>
      <c r="G15">
        <f>(B15+D15)*A3*100+5</f>
        <v>260024.99999999997</v>
      </c>
      <c r="I15">
        <f>G16+G15</f>
        <v>-4989.9999999999709</v>
      </c>
      <c r="J15" t="s">
        <v>5</v>
      </c>
    </row>
    <row r="16" spans="1:14" x14ac:dyDescent="0.25">
      <c r="B16">
        <v>0.03</v>
      </c>
      <c r="D16">
        <v>530</v>
      </c>
      <c r="G16">
        <f>-(B16+D16)*A3*100</f>
        <v>-265014.99999999994</v>
      </c>
    </row>
    <row r="18" spans="1:4" x14ac:dyDescent="0.25">
      <c r="B18">
        <f>(B16-B15)*5*100</f>
        <v>-5.0000000000000009</v>
      </c>
      <c r="D18" t="s">
        <v>50</v>
      </c>
    </row>
    <row r="19" spans="1:4" x14ac:dyDescent="0.25">
      <c r="A19" t="s">
        <v>4</v>
      </c>
    </row>
    <row r="20" spans="1:4" x14ac:dyDescent="0.25">
      <c r="A20" t="s">
        <v>6</v>
      </c>
    </row>
    <row r="22" spans="1:4" x14ac:dyDescent="0.25">
      <c r="A22" t="s">
        <v>7</v>
      </c>
    </row>
    <row r="24" spans="1:4" x14ac:dyDescent="0.25">
      <c r="A24" t="s">
        <v>52</v>
      </c>
    </row>
    <row r="25" spans="1:4" x14ac:dyDescent="0.25">
      <c r="A25" s="14"/>
      <c r="B25" s="14" t="s">
        <v>53</v>
      </c>
      <c r="C25" s="14" t="s">
        <v>54</v>
      </c>
    </row>
    <row r="26" spans="1:4" x14ac:dyDescent="0.25">
      <c r="A26" s="14" t="s">
        <v>55</v>
      </c>
      <c r="B26" s="14">
        <v>1</v>
      </c>
      <c r="C26" s="14">
        <v>0</v>
      </c>
    </row>
    <row r="27" spans="1:4" x14ac:dyDescent="0.25">
      <c r="A27" s="14" t="s">
        <v>33</v>
      </c>
      <c r="B27" s="14">
        <v>5</v>
      </c>
      <c r="C27" s="14">
        <v>0.5</v>
      </c>
    </row>
    <row r="28" spans="1:4" x14ac:dyDescent="0.25">
      <c r="A28" s="15" t="s">
        <v>56</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4"/>
  <sheetViews>
    <sheetView topLeftCell="A12" workbookViewId="0">
      <selection activeCell="G28" sqref="G28"/>
    </sheetView>
  </sheetViews>
  <sheetFormatPr baseColWidth="10" defaultRowHeight="15" x14ac:dyDescent="0.25"/>
  <cols>
    <col min="1" max="1" width="37.7109375" customWidth="1"/>
    <col min="7" max="7" width="20.140625" customWidth="1"/>
    <col min="13" max="13" width="11.85546875" bestFit="1" customWidth="1"/>
  </cols>
  <sheetData>
    <row r="1" spans="1:15" x14ac:dyDescent="0.25">
      <c r="H1" t="s">
        <v>16</v>
      </c>
    </row>
    <row r="2" spans="1:15" x14ac:dyDescent="0.25">
      <c r="A2" t="s">
        <v>8</v>
      </c>
    </row>
    <row r="3" spans="1:15" x14ac:dyDescent="0.25">
      <c r="G3" s="53" t="s">
        <v>20</v>
      </c>
      <c r="H3" s="53"/>
      <c r="I3" s="53"/>
      <c r="J3" s="53"/>
      <c r="K3" s="53"/>
      <c r="L3" s="53"/>
      <c r="M3" s="53"/>
    </row>
    <row r="4" spans="1:15" x14ac:dyDescent="0.25">
      <c r="A4" t="s">
        <v>9</v>
      </c>
      <c r="B4" s="2">
        <v>1</v>
      </c>
      <c r="D4">
        <v>1600</v>
      </c>
      <c r="G4" t="s">
        <v>17</v>
      </c>
      <c r="H4">
        <v>10000</v>
      </c>
      <c r="J4" t="s">
        <v>19</v>
      </c>
      <c r="M4">
        <f>INT(H4/H5)</f>
        <v>377</v>
      </c>
    </row>
    <row r="5" spans="1:15" x14ac:dyDescent="0.25">
      <c r="G5" t="s">
        <v>18</v>
      </c>
      <c r="H5">
        <v>26.5</v>
      </c>
    </row>
    <row r="7" spans="1:15" x14ac:dyDescent="0.25">
      <c r="G7" s="54" t="s">
        <v>21</v>
      </c>
      <c r="H7" s="55"/>
      <c r="I7" s="55"/>
      <c r="J7" s="55"/>
      <c r="K7" s="55"/>
      <c r="L7" s="55"/>
      <c r="M7" s="55"/>
    </row>
    <row r="8" spans="1:15" x14ac:dyDescent="0.25">
      <c r="A8" t="s">
        <v>11</v>
      </c>
      <c r="B8" s="2">
        <v>0.03</v>
      </c>
      <c r="D8">
        <f>B8*D4</f>
        <v>48</v>
      </c>
      <c r="G8" t="s">
        <v>22</v>
      </c>
      <c r="H8">
        <v>1</v>
      </c>
      <c r="K8" t="s">
        <v>28</v>
      </c>
      <c r="M8">
        <v>1000</v>
      </c>
      <c r="O8" t="s">
        <v>32</v>
      </c>
    </row>
    <row r="9" spans="1:15" x14ac:dyDescent="0.25">
      <c r="G9" t="s">
        <v>23</v>
      </c>
      <c r="H9" t="s">
        <v>24</v>
      </c>
      <c r="I9" t="s">
        <v>25</v>
      </c>
      <c r="O9" t="s">
        <v>33</v>
      </c>
    </row>
    <row r="10" spans="1:15" x14ac:dyDescent="0.25">
      <c r="A10" t="s">
        <v>10</v>
      </c>
      <c r="B10" s="2">
        <v>0.01</v>
      </c>
      <c r="D10">
        <f>B10*D4</f>
        <v>16</v>
      </c>
      <c r="G10" t="s">
        <v>26</v>
      </c>
      <c r="H10">
        <v>27</v>
      </c>
      <c r="I10">
        <v>0.42</v>
      </c>
      <c r="K10" t="s">
        <v>29</v>
      </c>
      <c r="M10">
        <f>INT(M8/I10/100)</f>
        <v>23</v>
      </c>
      <c r="O10">
        <f>M10*I10*100</f>
        <v>966</v>
      </c>
    </row>
    <row r="11" spans="1:15" x14ac:dyDescent="0.25">
      <c r="G11" t="s">
        <v>27</v>
      </c>
      <c r="H11">
        <v>28</v>
      </c>
      <c r="I11">
        <v>0.46</v>
      </c>
      <c r="K11" t="s">
        <v>29</v>
      </c>
      <c r="M11">
        <f>INT(M8/I11/100)</f>
        <v>21</v>
      </c>
      <c r="O11">
        <f>M11*I11*100</f>
        <v>966</v>
      </c>
    </row>
    <row r="12" spans="1:15" x14ac:dyDescent="0.25">
      <c r="A12" t="s">
        <v>12</v>
      </c>
      <c r="B12" s="2">
        <v>0.2</v>
      </c>
      <c r="D12">
        <f>B12*D4</f>
        <v>320</v>
      </c>
    </row>
    <row r="13" spans="1:15" x14ac:dyDescent="0.25">
      <c r="A13" t="s">
        <v>13</v>
      </c>
    </row>
    <row r="14" spans="1:15" x14ac:dyDescent="0.25">
      <c r="G14" t="s">
        <v>30</v>
      </c>
      <c r="H14">
        <f>B15*M8</f>
        <v>150</v>
      </c>
    </row>
    <row r="15" spans="1:15" x14ac:dyDescent="0.25">
      <c r="A15" t="s">
        <v>14</v>
      </c>
      <c r="B15" s="2">
        <f>D8/D12</f>
        <v>0.15</v>
      </c>
      <c r="G15" t="s">
        <v>31</v>
      </c>
      <c r="H15">
        <f>B17*M8</f>
        <v>50</v>
      </c>
    </row>
    <row r="16" spans="1:15" x14ac:dyDescent="0.25">
      <c r="B16" s="2"/>
    </row>
    <row r="17" spans="1:10" x14ac:dyDescent="0.25">
      <c r="A17" t="s">
        <v>15</v>
      </c>
      <c r="B17" s="2">
        <f>D10/D12</f>
        <v>0.05</v>
      </c>
      <c r="G17" t="s">
        <v>34</v>
      </c>
      <c r="H17">
        <v>0.42</v>
      </c>
    </row>
    <row r="18" spans="1:10" x14ac:dyDescent="0.25">
      <c r="G18" t="s">
        <v>35</v>
      </c>
      <c r="H18">
        <v>23</v>
      </c>
    </row>
    <row r="20" spans="1:10" x14ac:dyDescent="0.25">
      <c r="G20" t="s">
        <v>36</v>
      </c>
      <c r="H20">
        <f>(H17*23*100-H15)/(23*100)</f>
        <v>0.39826086956521739</v>
      </c>
      <c r="J20" t="s">
        <v>37</v>
      </c>
    </row>
    <row r="22" spans="1:10" x14ac:dyDescent="0.25">
      <c r="G22" t="s">
        <v>36</v>
      </c>
      <c r="H22">
        <f>(H17*23*100+H14)/(23*100)</f>
        <v>0.48521739130434782</v>
      </c>
      <c r="J22" t="s">
        <v>38</v>
      </c>
    </row>
    <row r="23" spans="1:10" x14ac:dyDescent="0.25">
      <c r="A23" s="3" t="s">
        <v>40</v>
      </c>
      <c r="B23" s="4">
        <v>1</v>
      </c>
      <c r="C23" s="3">
        <v>1600</v>
      </c>
      <c r="D23" s="3"/>
    </row>
    <row r="24" spans="1:10" x14ac:dyDescent="0.25">
      <c r="A24" s="3" t="s">
        <v>41</v>
      </c>
      <c r="B24" s="4">
        <v>0.03</v>
      </c>
      <c r="C24" s="3">
        <f>C23*B24</f>
        <v>48</v>
      </c>
      <c r="D24" s="3"/>
    </row>
    <row r="25" spans="1:10" x14ac:dyDescent="0.25">
      <c r="A25" s="3" t="s">
        <v>43</v>
      </c>
      <c r="B25" s="4">
        <v>0.01</v>
      </c>
      <c r="C25" s="3">
        <f>C23*B25</f>
        <v>16</v>
      </c>
      <c r="D25" s="3"/>
    </row>
    <row r="26" spans="1:10" x14ac:dyDescent="0.25">
      <c r="A26" s="3" t="s">
        <v>44</v>
      </c>
      <c r="B26" s="4">
        <v>0.2</v>
      </c>
      <c r="C26" s="3">
        <f>C23*B26</f>
        <v>320</v>
      </c>
      <c r="D26" s="3"/>
    </row>
    <row r="27" spans="1:10" x14ac:dyDescent="0.25">
      <c r="A27" s="3"/>
      <c r="B27" s="4"/>
      <c r="C27" s="3"/>
      <c r="D27" s="3"/>
    </row>
    <row r="28" spans="1:10" x14ac:dyDescent="0.25">
      <c r="A28" s="3" t="s">
        <v>39</v>
      </c>
      <c r="B28" s="3"/>
      <c r="C28" s="3">
        <v>0.42</v>
      </c>
      <c r="D28" s="3"/>
    </row>
    <row r="29" spans="1:10" x14ac:dyDescent="0.25">
      <c r="A29" s="3" t="s">
        <v>47</v>
      </c>
      <c r="B29" s="3"/>
      <c r="C29" s="3">
        <v>5</v>
      </c>
      <c r="D29" s="3"/>
    </row>
    <row r="30" spans="1:10" x14ac:dyDescent="0.25">
      <c r="A30" s="3"/>
      <c r="B30" s="3"/>
      <c r="C30" s="3"/>
      <c r="D30" s="3"/>
    </row>
    <row r="31" spans="1:10" x14ac:dyDescent="0.25">
      <c r="A31" s="3" t="s">
        <v>45</v>
      </c>
      <c r="B31" s="3"/>
      <c r="C31" s="3">
        <f>(C28*C29*100+C24)/(C29*100)</f>
        <v>0.51600000000000001</v>
      </c>
      <c r="D31" s="3"/>
      <c r="F31" t="s">
        <v>42</v>
      </c>
    </row>
    <row r="32" spans="1:10" x14ac:dyDescent="0.25">
      <c r="A32" s="3"/>
      <c r="B32" s="3"/>
      <c r="C32" s="3"/>
      <c r="D32" s="3"/>
    </row>
    <row r="33" spans="1:4" x14ac:dyDescent="0.25">
      <c r="A33" s="3" t="s">
        <v>46</v>
      </c>
      <c r="B33" s="3"/>
      <c r="C33" s="3">
        <f>(C28*C29*100-C25)/(C29*100)</f>
        <v>0.38800000000000001</v>
      </c>
      <c r="D33" s="3"/>
    </row>
    <row r="34" spans="1:4" x14ac:dyDescent="0.25">
      <c r="A34" s="3"/>
      <c r="B34" s="3"/>
      <c r="C34" s="3"/>
      <c r="D34" s="3"/>
    </row>
  </sheetData>
  <mergeCells count="2">
    <mergeCell ref="G3:M3"/>
    <mergeCell ref="G7:M7"/>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0"/>
  <sheetViews>
    <sheetView workbookViewId="0">
      <selection activeCell="F26" sqref="F26"/>
    </sheetView>
  </sheetViews>
  <sheetFormatPr baseColWidth="10" defaultRowHeight="15" x14ac:dyDescent="0.25"/>
  <cols>
    <col min="1" max="1" width="35.5703125" customWidth="1"/>
    <col min="13" max="13" width="12.28515625" customWidth="1"/>
  </cols>
  <sheetData>
    <row r="1" spans="1:14" x14ac:dyDescent="0.25">
      <c r="A1" s="51" t="s">
        <v>51</v>
      </c>
      <c r="B1" s="51"/>
      <c r="C1" s="51"/>
      <c r="D1" s="51"/>
      <c r="E1" t="s">
        <v>94</v>
      </c>
      <c r="F1" t="s">
        <v>96</v>
      </c>
    </row>
    <row r="2" spans="1:14" x14ac:dyDescent="0.25">
      <c r="A2" s="5" t="s">
        <v>40</v>
      </c>
      <c r="B2" s="6">
        <v>1</v>
      </c>
      <c r="C2" s="11">
        <v>5007</v>
      </c>
      <c r="D2" s="5"/>
      <c r="E2">
        <v>0.4</v>
      </c>
      <c r="F2" t="s">
        <v>97</v>
      </c>
    </row>
    <row r="3" spans="1:14" x14ac:dyDescent="0.25">
      <c r="A3" s="5"/>
      <c r="B3" s="6"/>
      <c r="C3" s="5"/>
      <c r="D3" s="5"/>
      <c r="E3" s="1">
        <v>1.2</v>
      </c>
      <c r="F3" s="1" t="s">
        <v>118</v>
      </c>
    </row>
    <row r="4" spans="1:14" x14ac:dyDescent="0.25">
      <c r="A4" s="5" t="s">
        <v>41</v>
      </c>
      <c r="B4" s="8">
        <v>0.03</v>
      </c>
      <c r="C4" s="12">
        <f>C2*B4</f>
        <v>150.21</v>
      </c>
      <c r="D4" s="19">
        <f>C4-2*E2</f>
        <v>149.41</v>
      </c>
      <c r="E4" t="s">
        <v>80</v>
      </c>
      <c r="G4" t="s">
        <v>81</v>
      </c>
      <c r="H4" t="s">
        <v>84</v>
      </c>
    </row>
    <row r="5" spans="1:14" x14ac:dyDescent="0.25">
      <c r="A5" s="5"/>
      <c r="B5" s="6"/>
      <c r="C5" s="5"/>
      <c r="D5" s="5"/>
    </row>
    <row r="6" spans="1:14" x14ac:dyDescent="0.25">
      <c r="A6" s="5" t="s">
        <v>43</v>
      </c>
      <c r="B6" s="8">
        <v>0.01</v>
      </c>
      <c r="C6" s="12">
        <f>C2*B6</f>
        <v>50.07</v>
      </c>
      <c r="D6" s="19">
        <f>C6+2*E2</f>
        <v>50.87</v>
      </c>
      <c r="E6" t="s">
        <v>79</v>
      </c>
      <c r="G6" t="s">
        <v>83</v>
      </c>
    </row>
    <row r="7" spans="1:14" x14ac:dyDescent="0.25">
      <c r="A7" s="5"/>
      <c r="B7" s="6"/>
      <c r="C7" s="5"/>
      <c r="D7" s="5"/>
    </row>
    <row r="8" spans="1:14" x14ac:dyDescent="0.25">
      <c r="A8" s="5" t="s">
        <v>49</v>
      </c>
      <c r="B8" s="8">
        <v>0.1</v>
      </c>
      <c r="C8" s="12">
        <f>C2*B8</f>
        <v>500.70000000000005</v>
      </c>
      <c r="D8" s="5"/>
    </row>
    <row r="9" spans="1:14" x14ac:dyDescent="0.25">
      <c r="A9" s="5"/>
      <c r="B9" s="6"/>
      <c r="C9" s="5"/>
      <c r="D9" s="5"/>
      <c r="G9" t="s">
        <v>85</v>
      </c>
      <c r="M9" t="s">
        <v>99</v>
      </c>
      <c r="N9" t="s">
        <v>100</v>
      </c>
    </row>
    <row r="10" spans="1:14" x14ac:dyDescent="0.25">
      <c r="A10" s="5" t="s">
        <v>119</v>
      </c>
      <c r="B10" s="5"/>
      <c r="C10" s="11">
        <v>0.42</v>
      </c>
      <c r="D10" s="5"/>
      <c r="G10" s="16" t="s">
        <v>86</v>
      </c>
      <c r="M10" t="s">
        <v>101</v>
      </c>
      <c r="N10" t="s">
        <v>102</v>
      </c>
    </row>
    <row r="11" spans="1:14" x14ac:dyDescent="0.25">
      <c r="A11" s="5"/>
      <c r="B11" s="5"/>
      <c r="C11" s="5"/>
      <c r="D11" s="5"/>
    </row>
    <row r="12" spans="1:14" x14ac:dyDescent="0.25">
      <c r="A12" s="5" t="s">
        <v>47</v>
      </c>
      <c r="B12" s="5"/>
      <c r="C12" s="7">
        <v>1</v>
      </c>
      <c r="D12" s="5"/>
      <c r="G12" t="s">
        <v>87</v>
      </c>
      <c r="J12">
        <v>638</v>
      </c>
    </row>
    <row r="13" spans="1:14" x14ac:dyDescent="0.25">
      <c r="A13" s="5"/>
      <c r="B13" s="5"/>
      <c r="C13" s="5"/>
      <c r="D13" s="5"/>
    </row>
    <row r="14" spans="1:14" x14ac:dyDescent="0.25">
      <c r="A14" s="5" t="s">
        <v>48</v>
      </c>
      <c r="B14" s="13">
        <f>C14/C2</f>
        <v>8.3882564409826239E-3</v>
      </c>
      <c r="C14" s="12">
        <f>C12*100*C10</f>
        <v>42</v>
      </c>
      <c r="D14" s="5"/>
      <c r="G14" s="16" t="s">
        <v>88</v>
      </c>
    </row>
    <row r="15" spans="1:14" x14ac:dyDescent="0.25">
      <c r="A15" s="5"/>
      <c r="B15" s="5"/>
      <c r="C15" s="5"/>
      <c r="D15" s="5"/>
    </row>
    <row r="16" spans="1:14" x14ac:dyDescent="0.25">
      <c r="A16" s="5" t="s">
        <v>45</v>
      </c>
      <c r="B16" s="5"/>
      <c r="C16" s="9">
        <f>(C10*C12*100+C4)/(C12*100)</f>
        <v>1.9221000000000001</v>
      </c>
      <c r="D16" s="5"/>
      <c r="G16" t="s">
        <v>89</v>
      </c>
    </row>
    <row r="17" spans="1:13" x14ac:dyDescent="0.25">
      <c r="A17" s="5"/>
      <c r="B17" s="5"/>
      <c r="C17" s="5"/>
      <c r="D17" s="5"/>
      <c r="G17" t="s">
        <v>90</v>
      </c>
    </row>
    <row r="18" spans="1:13" x14ac:dyDescent="0.25">
      <c r="A18" s="5" t="s">
        <v>46</v>
      </c>
      <c r="B18" s="5"/>
      <c r="C18" s="10">
        <f>(C10*C12*100-C6)/(C12*100)</f>
        <v>-8.0700000000000008E-2</v>
      </c>
      <c r="D18" s="5"/>
      <c r="G18" t="s">
        <v>91</v>
      </c>
    </row>
    <row r="19" spans="1:13" x14ac:dyDescent="0.25">
      <c r="A19" s="5"/>
      <c r="B19" s="5"/>
      <c r="C19" s="5"/>
      <c r="D19" s="5"/>
      <c r="G19" t="s">
        <v>92</v>
      </c>
    </row>
    <row r="20" spans="1:13" x14ac:dyDescent="0.25">
      <c r="G20" t="s">
        <v>93</v>
      </c>
    </row>
    <row r="21" spans="1:13" x14ac:dyDescent="0.25">
      <c r="A21" t="s">
        <v>82</v>
      </c>
    </row>
    <row r="22" spans="1:13" x14ac:dyDescent="0.25">
      <c r="G22" t="s">
        <v>103</v>
      </c>
    </row>
    <row r="24" spans="1:13" x14ac:dyDescent="0.25">
      <c r="G24" t="s">
        <v>95</v>
      </c>
    </row>
    <row r="25" spans="1:13" x14ac:dyDescent="0.25">
      <c r="A25" t="s">
        <v>98</v>
      </c>
      <c r="G25" s="1" t="s">
        <v>104</v>
      </c>
      <c r="H25" s="1"/>
      <c r="I25" s="1"/>
      <c r="J25" s="1"/>
      <c r="K25" s="1"/>
      <c r="L25" s="1"/>
      <c r="M25" s="1"/>
    </row>
    <row r="26" spans="1:13" x14ac:dyDescent="0.25">
      <c r="A26" t="s">
        <v>114</v>
      </c>
      <c r="G26" s="1" t="s">
        <v>105</v>
      </c>
      <c r="H26" s="1"/>
      <c r="I26" s="1"/>
      <c r="J26" s="1"/>
      <c r="K26" s="1"/>
      <c r="L26" s="1"/>
      <c r="M26" s="1"/>
    </row>
    <row r="27" spans="1:13" x14ac:dyDescent="0.25">
      <c r="G27" s="1" t="s">
        <v>106</v>
      </c>
      <c r="H27" s="1"/>
      <c r="I27" s="1"/>
      <c r="J27" s="1"/>
      <c r="K27" s="1"/>
      <c r="L27" s="1"/>
      <c r="M27" s="1"/>
    </row>
    <row r="29" spans="1:13" x14ac:dyDescent="0.25">
      <c r="G29" s="1" t="s">
        <v>107</v>
      </c>
      <c r="H29" s="1"/>
      <c r="I29" s="1"/>
      <c r="J29" s="1"/>
      <c r="K29" s="1"/>
      <c r="L29" s="1"/>
      <c r="M29" s="1"/>
    </row>
    <row r="30" spans="1:13" x14ac:dyDescent="0.25">
      <c r="G30" s="1" t="s">
        <v>108</v>
      </c>
      <c r="H30" s="1"/>
      <c r="I30" s="1"/>
      <c r="J30" s="1"/>
      <c r="K30" s="1"/>
      <c r="L30" s="1"/>
      <c r="M30" s="1"/>
    </row>
    <row r="31" spans="1:13" x14ac:dyDescent="0.25">
      <c r="G31" s="1" t="s">
        <v>109</v>
      </c>
      <c r="H31" s="1"/>
      <c r="I31" s="1"/>
      <c r="J31" s="1"/>
      <c r="K31" s="1"/>
      <c r="L31" s="1"/>
      <c r="M31" s="1"/>
    </row>
    <row r="33" spans="1:10" x14ac:dyDescent="0.25">
      <c r="G33" s="1" t="s">
        <v>110</v>
      </c>
      <c r="H33" s="1"/>
      <c r="I33" s="1"/>
      <c r="J33" s="1"/>
    </row>
    <row r="34" spans="1:10" x14ac:dyDescent="0.25">
      <c r="A34" t="s">
        <v>111</v>
      </c>
    </row>
    <row r="35" spans="1:10" x14ac:dyDescent="0.25">
      <c r="A35" t="s">
        <v>112</v>
      </c>
    </row>
    <row r="36" spans="1:10" x14ac:dyDescent="0.25">
      <c r="A36" t="s">
        <v>113</v>
      </c>
    </row>
    <row r="38" spans="1:10" x14ac:dyDescent="0.25">
      <c r="A38" t="s">
        <v>115</v>
      </c>
    </row>
    <row r="39" spans="1:10" x14ac:dyDescent="0.25">
      <c r="A39" t="s">
        <v>116</v>
      </c>
    </row>
    <row r="40" spans="1:10" x14ac:dyDescent="0.25">
      <c r="A40" t="s">
        <v>117</v>
      </c>
    </row>
  </sheetData>
  <mergeCells count="1">
    <mergeCell ref="A1:D1"/>
  </mergeCells>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30"/>
  <sheetViews>
    <sheetView topLeftCell="A16" workbookViewId="0">
      <selection activeCell="F20" sqref="F20"/>
    </sheetView>
  </sheetViews>
  <sheetFormatPr baseColWidth="10" defaultRowHeight="15" x14ac:dyDescent="0.25"/>
  <cols>
    <col min="1" max="1" width="35.5703125" customWidth="1"/>
    <col min="2" max="2" width="11.42578125" customWidth="1"/>
    <col min="4" max="4" width="13" customWidth="1"/>
    <col min="13" max="13" width="12.28515625" customWidth="1"/>
  </cols>
  <sheetData>
    <row r="1" spans="1:9" x14ac:dyDescent="0.25">
      <c r="A1" s="51" t="s">
        <v>51</v>
      </c>
      <c r="B1" s="51"/>
      <c r="C1" s="51"/>
      <c r="D1" s="51"/>
      <c r="E1" t="s">
        <v>94</v>
      </c>
      <c r="F1" t="s">
        <v>96</v>
      </c>
    </row>
    <row r="2" spans="1:9" ht="30" x14ac:dyDescent="0.25">
      <c r="A2" s="20"/>
      <c r="B2" s="20"/>
      <c r="C2" s="26" t="s">
        <v>126</v>
      </c>
      <c r="D2" s="25" t="s">
        <v>127</v>
      </c>
    </row>
    <row r="3" spans="1:9" x14ac:dyDescent="0.25">
      <c r="A3" s="5" t="s">
        <v>40</v>
      </c>
      <c r="B3" s="6">
        <v>1</v>
      </c>
      <c r="C3" s="11">
        <v>2007</v>
      </c>
      <c r="D3" s="5"/>
      <c r="E3">
        <v>0.4</v>
      </c>
      <c r="F3" t="s">
        <v>97</v>
      </c>
    </row>
    <row r="4" spans="1:9" x14ac:dyDescent="0.25">
      <c r="A4" s="5"/>
      <c r="B4" s="6"/>
      <c r="C4" s="5"/>
      <c r="D4" s="5"/>
      <c r="E4" s="1">
        <v>0.5</v>
      </c>
      <c r="F4" s="1" t="s">
        <v>118</v>
      </c>
    </row>
    <row r="5" spans="1:9" x14ac:dyDescent="0.25">
      <c r="A5" s="5" t="s">
        <v>41</v>
      </c>
      <c r="B5" s="8">
        <v>0.03</v>
      </c>
      <c r="C5" s="12">
        <f>C3*B5</f>
        <v>60.21</v>
      </c>
      <c r="D5" s="19">
        <f>C5-2*E3</f>
        <v>59.410000000000004</v>
      </c>
    </row>
    <row r="6" spans="1:9" x14ac:dyDescent="0.25">
      <c r="A6" s="5"/>
      <c r="B6" s="6"/>
      <c r="C6" s="5"/>
      <c r="D6" s="5"/>
    </row>
    <row r="7" spans="1:9" x14ac:dyDescent="0.25">
      <c r="A7" s="5" t="s">
        <v>43</v>
      </c>
      <c r="B7" s="8">
        <v>0.01</v>
      </c>
      <c r="C7" s="12">
        <f>C3*B7</f>
        <v>20.07</v>
      </c>
      <c r="D7" s="19">
        <f>C7+2*C13*E4</f>
        <v>21.07</v>
      </c>
      <c r="E7" s="22">
        <f>C7/0.5</f>
        <v>40.14</v>
      </c>
      <c r="F7" t="s">
        <v>120</v>
      </c>
    </row>
    <row r="8" spans="1:9" x14ac:dyDescent="0.25">
      <c r="A8" s="5"/>
      <c r="B8" s="6"/>
      <c r="C8" s="5"/>
      <c r="D8" s="5"/>
    </row>
    <row r="9" spans="1:9" x14ac:dyDescent="0.25">
      <c r="A9" s="5" t="s">
        <v>49</v>
      </c>
      <c r="B9" s="8">
        <v>0.1</v>
      </c>
      <c r="C9" s="12">
        <f>C3*B9</f>
        <v>200.70000000000002</v>
      </c>
      <c r="D9" s="5"/>
      <c r="E9" s="27" t="s">
        <v>128</v>
      </c>
      <c r="F9" s="27"/>
      <c r="G9" s="27"/>
      <c r="H9" s="27"/>
      <c r="I9" s="27"/>
    </row>
    <row r="10" spans="1:9" x14ac:dyDescent="0.25">
      <c r="A10" s="5"/>
      <c r="B10" s="6"/>
      <c r="C10" s="5"/>
      <c r="D10" s="5"/>
    </row>
    <row r="11" spans="1:9" x14ac:dyDescent="0.25">
      <c r="A11" s="5" t="s">
        <v>135</v>
      </c>
      <c r="B11" s="5"/>
      <c r="C11" s="11">
        <v>1578.3</v>
      </c>
      <c r="D11" s="5"/>
      <c r="G11" s="16"/>
    </row>
    <row r="12" spans="1:9" x14ac:dyDescent="0.25">
      <c r="A12" s="5"/>
      <c r="B12" s="5"/>
      <c r="C12" s="5"/>
      <c r="D12" s="5"/>
    </row>
    <row r="13" spans="1:9" x14ac:dyDescent="0.25">
      <c r="A13" s="5" t="s">
        <v>47</v>
      </c>
      <c r="B13" s="5"/>
      <c r="C13" s="11">
        <v>1</v>
      </c>
      <c r="D13" s="5"/>
    </row>
    <row r="14" spans="1:9" x14ac:dyDescent="0.25">
      <c r="A14" s="5"/>
      <c r="B14" s="5"/>
      <c r="C14" s="5"/>
      <c r="D14" s="5"/>
    </row>
    <row r="15" spans="1:9" x14ac:dyDescent="0.25">
      <c r="A15" s="5" t="s">
        <v>48</v>
      </c>
      <c r="B15" s="21">
        <f>D15/C3</f>
        <v>0.31340308918784254</v>
      </c>
      <c r="C15" s="11">
        <f>C13*628</f>
        <v>628</v>
      </c>
      <c r="D15" s="19">
        <f>C15+2*C13*E4</f>
        <v>629</v>
      </c>
      <c r="G15" s="16"/>
    </row>
    <row r="16" spans="1:9" ht="33" customHeight="1" x14ac:dyDescent="0.25">
      <c r="A16" s="5"/>
      <c r="B16" s="31" t="s">
        <v>132</v>
      </c>
      <c r="C16" s="5"/>
      <c r="D16" s="31" t="s">
        <v>131</v>
      </c>
    </row>
    <row r="17" spans="1:10" x14ac:dyDescent="0.25">
      <c r="A17" s="5" t="s">
        <v>130</v>
      </c>
      <c r="B17" s="30">
        <f>(C17-C11-2*E4)/C15</f>
        <v>-1.1146496815286623E-2</v>
      </c>
      <c r="C17" s="10">
        <f>1572.3</f>
        <v>1572.3</v>
      </c>
      <c r="D17" s="30">
        <f>B18/C3</f>
        <v>-3.4877927254608867E-3</v>
      </c>
      <c r="F17" t="s">
        <v>134</v>
      </c>
    </row>
    <row r="18" spans="1:10" x14ac:dyDescent="0.25">
      <c r="A18" s="5"/>
      <c r="B18" s="32">
        <f>B17*C15</f>
        <v>-6.9999999999999991</v>
      </c>
      <c r="C18" s="5"/>
      <c r="D18" s="5"/>
    </row>
    <row r="19" spans="1:10" x14ac:dyDescent="0.25">
      <c r="A19" s="5" t="s">
        <v>121</v>
      </c>
      <c r="B19" s="29">
        <v>0</v>
      </c>
      <c r="C19" s="17">
        <f>C11+2*E4</f>
        <v>1579.3</v>
      </c>
      <c r="D19" s="28" t="s">
        <v>133</v>
      </c>
    </row>
    <row r="20" spans="1:10" x14ac:dyDescent="0.25">
      <c r="A20" s="5"/>
      <c r="B20" s="28" t="s">
        <v>133</v>
      </c>
      <c r="C20" s="5"/>
      <c r="D20" s="5"/>
      <c r="F20" t="s">
        <v>136</v>
      </c>
      <c r="G20" s="23"/>
      <c r="J20" s="23"/>
    </row>
    <row r="21" spans="1:10" x14ac:dyDescent="0.25">
      <c r="A21" s="5" t="s">
        <v>122</v>
      </c>
      <c r="B21" s="30">
        <f>(C21-C11)/C15</f>
        <v>1.5923566878981252E-2</v>
      </c>
      <c r="C21" s="17">
        <f>2.5*C11-1.5*C17+2*E4</f>
        <v>1588.3000000000002</v>
      </c>
      <c r="D21" s="30">
        <f>B22/C3</f>
        <v>4.9825610363728092E-3</v>
      </c>
    </row>
    <row r="22" spans="1:10" x14ac:dyDescent="0.25">
      <c r="A22" s="5"/>
      <c r="B22" s="32">
        <f>B21*C15</f>
        <v>10.000000000000227</v>
      </c>
      <c r="C22" s="5"/>
      <c r="D22" s="5"/>
    </row>
    <row r="23" spans="1:10" x14ac:dyDescent="0.25">
      <c r="A23" s="5" t="s">
        <v>123</v>
      </c>
      <c r="B23" s="30">
        <f>(C23-C11)/C15</f>
        <v>2.0700636942674797E-2</v>
      </c>
      <c r="C23" s="17">
        <f>3*C11-2*C17+2*E4</f>
        <v>1591.2999999999997</v>
      </c>
      <c r="D23" s="30">
        <f>B24/C3</f>
        <v>6.4773293472843909E-3</v>
      </c>
    </row>
    <row r="24" spans="1:10" x14ac:dyDescent="0.25">
      <c r="A24" s="5"/>
      <c r="B24" s="32">
        <f>B23*C15</f>
        <v>12.999999999999773</v>
      </c>
      <c r="C24" s="5"/>
      <c r="D24" s="5"/>
    </row>
    <row r="25" spans="1:10" x14ac:dyDescent="0.25">
      <c r="A25" s="5" t="s">
        <v>124</v>
      </c>
      <c r="B25" s="30">
        <f>(C25-C11)/C15</f>
        <v>2.5477707006369789E-2</v>
      </c>
      <c r="C25" s="17">
        <f>3.5*C11-2.5*C17+2*E4</f>
        <v>1594.3000000000002</v>
      </c>
      <c r="D25" s="30">
        <f>B26/C3</f>
        <v>7.9720976581964254E-3</v>
      </c>
    </row>
    <row r="26" spans="1:10" x14ac:dyDescent="0.25">
      <c r="A26" s="5"/>
      <c r="B26" s="32">
        <f>B25*C15</f>
        <v>16.000000000000227</v>
      </c>
      <c r="C26" s="5"/>
      <c r="D26" s="5"/>
    </row>
    <row r="27" spans="1:10" x14ac:dyDescent="0.25">
      <c r="A27" s="5" t="s">
        <v>125</v>
      </c>
      <c r="B27" s="30">
        <f>(C27-C11)/C15</f>
        <v>3.0254777070064055E-2</v>
      </c>
      <c r="C27" s="17">
        <f>4*C11-3*C17+2*E4</f>
        <v>1597.3000000000002</v>
      </c>
      <c r="D27" s="30">
        <f>B28/C3</f>
        <v>9.4668659691082343E-3</v>
      </c>
    </row>
    <row r="28" spans="1:10" x14ac:dyDescent="0.25">
      <c r="A28" s="5"/>
      <c r="B28" s="32">
        <f>B27*C15</f>
        <v>19.000000000000227</v>
      </c>
      <c r="C28" s="5"/>
      <c r="D28" s="5"/>
    </row>
    <row r="30" spans="1:10" x14ac:dyDescent="0.25">
      <c r="A30" t="s">
        <v>129</v>
      </c>
    </row>
  </sheetData>
  <mergeCells count="1">
    <mergeCell ref="A1:D1"/>
  </mergeCell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N47"/>
  <sheetViews>
    <sheetView tabSelected="1" workbookViewId="0">
      <selection activeCell="N18" sqref="N18"/>
    </sheetView>
  </sheetViews>
  <sheetFormatPr baseColWidth="10" defaultRowHeight="15" x14ac:dyDescent="0.25"/>
  <cols>
    <col min="7" max="7" width="21.5703125" customWidth="1"/>
    <col min="14" max="14" width="14.85546875" customWidth="1"/>
  </cols>
  <sheetData>
    <row r="2" spans="1:14" x14ac:dyDescent="0.25">
      <c r="A2" t="s">
        <v>165</v>
      </c>
      <c r="D2" t="s">
        <v>170</v>
      </c>
      <c r="E2">
        <v>0.5</v>
      </c>
      <c r="K2" t="s">
        <v>170</v>
      </c>
      <c r="L2">
        <v>0.5</v>
      </c>
    </row>
    <row r="4" spans="1:14" x14ac:dyDescent="0.25">
      <c r="C4" t="s">
        <v>166</v>
      </c>
      <c r="D4" t="s">
        <v>167</v>
      </c>
      <c r="E4" t="s">
        <v>168</v>
      </c>
      <c r="F4" t="s">
        <v>169</v>
      </c>
      <c r="G4" t="s">
        <v>171</v>
      </c>
      <c r="J4" t="s">
        <v>166</v>
      </c>
      <c r="K4" t="s">
        <v>167</v>
      </c>
      <c r="L4" t="s">
        <v>168</v>
      </c>
      <c r="M4" t="s">
        <v>169</v>
      </c>
      <c r="N4" t="s">
        <v>171</v>
      </c>
    </row>
    <row r="5" spans="1:14" x14ac:dyDescent="0.25">
      <c r="C5">
        <v>10</v>
      </c>
      <c r="D5">
        <f>E2*C5</f>
        <v>5</v>
      </c>
      <c r="E5">
        <v>40</v>
      </c>
      <c r="F5">
        <f>E2*E5</f>
        <v>20</v>
      </c>
      <c r="G5" s="36">
        <f>F5/(D5+F5)</f>
        <v>0.8</v>
      </c>
      <c r="J5">
        <v>10</v>
      </c>
      <c r="K5">
        <f>L2*J5</f>
        <v>5</v>
      </c>
      <c r="L5">
        <v>40</v>
      </c>
      <c r="M5">
        <f>L2*L5</f>
        <v>20</v>
      </c>
      <c r="N5" s="36">
        <f>M5/(K5+M5)</f>
        <v>0.8</v>
      </c>
    </row>
    <row r="6" spans="1:14" x14ac:dyDescent="0.25">
      <c r="C6">
        <v>11</v>
      </c>
      <c r="D6">
        <f>E2*C6</f>
        <v>5.5</v>
      </c>
      <c r="E6">
        <v>40</v>
      </c>
      <c r="F6">
        <f>E2*E6</f>
        <v>20</v>
      </c>
      <c r="G6" s="36">
        <f>F6/(D6+F6)</f>
        <v>0.78431372549019607</v>
      </c>
      <c r="J6">
        <v>11</v>
      </c>
      <c r="K6">
        <f>L2*J6</f>
        <v>5.5</v>
      </c>
      <c r="L6">
        <v>40</v>
      </c>
      <c r="M6">
        <f>L2*L6</f>
        <v>20</v>
      </c>
      <c r="N6" s="36">
        <f>M6/(K6+M6)</f>
        <v>0.78431372549019607</v>
      </c>
    </row>
    <row r="7" spans="1:14" x14ac:dyDescent="0.25">
      <c r="C7">
        <v>12</v>
      </c>
      <c r="D7">
        <f>0.5*C7</f>
        <v>6</v>
      </c>
      <c r="E7">
        <v>40</v>
      </c>
      <c r="F7">
        <f>0.5*E7</f>
        <v>20</v>
      </c>
      <c r="G7" s="36">
        <f>F7/(D7+F7)</f>
        <v>0.76923076923076927</v>
      </c>
      <c r="J7">
        <v>12</v>
      </c>
      <c r="K7">
        <f>0.5*J7</f>
        <v>6</v>
      </c>
      <c r="L7">
        <v>40</v>
      </c>
      <c r="M7">
        <f>0.5*L7</f>
        <v>20</v>
      </c>
      <c r="N7" s="36">
        <f>M7/(K7+M7)</f>
        <v>0.76923076923076927</v>
      </c>
    </row>
    <row r="8" spans="1:14" x14ac:dyDescent="0.25">
      <c r="C8">
        <v>13</v>
      </c>
      <c r="D8">
        <f t="shared" ref="D8:D15" si="0">0.5*C8</f>
        <v>6.5</v>
      </c>
      <c r="E8">
        <v>40</v>
      </c>
      <c r="F8">
        <f t="shared" ref="F8:F15" si="1">0.5*E8</f>
        <v>20</v>
      </c>
      <c r="G8" s="36">
        <f t="shared" ref="G8:G15" si="2">F8/(D8+F8)</f>
        <v>0.75471698113207553</v>
      </c>
      <c r="J8">
        <v>13</v>
      </c>
      <c r="K8">
        <f t="shared" ref="K8:K15" si="3">0.5*J8</f>
        <v>6.5</v>
      </c>
      <c r="L8">
        <v>40</v>
      </c>
      <c r="M8">
        <f t="shared" ref="M8:M15" si="4">0.5*L8</f>
        <v>20</v>
      </c>
      <c r="N8" s="36">
        <f t="shared" ref="N8:N15" si="5">M8/(K8+M8)</f>
        <v>0.75471698113207553</v>
      </c>
    </row>
    <row r="9" spans="1:14" x14ac:dyDescent="0.25">
      <c r="C9">
        <v>14</v>
      </c>
      <c r="D9">
        <f t="shared" si="0"/>
        <v>7</v>
      </c>
      <c r="E9">
        <v>40</v>
      </c>
      <c r="F9">
        <f t="shared" si="1"/>
        <v>20</v>
      </c>
      <c r="G9" s="36">
        <f t="shared" si="2"/>
        <v>0.7407407407407407</v>
      </c>
      <c r="J9" s="1">
        <v>14</v>
      </c>
      <c r="K9" s="1">
        <f t="shared" si="3"/>
        <v>7</v>
      </c>
      <c r="L9" s="1">
        <v>20</v>
      </c>
      <c r="M9" s="1">
        <f t="shared" si="4"/>
        <v>10</v>
      </c>
      <c r="N9" s="50">
        <f t="shared" si="5"/>
        <v>0.58823529411764708</v>
      </c>
    </row>
    <row r="10" spans="1:14" x14ac:dyDescent="0.25">
      <c r="C10">
        <v>15</v>
      </c>
      <c r="D10">
        <f t="shared" si="0"/>
        <v>7.5</v>
      </c>
      <c r="E10">
        <v>40</v>
      </c>
      <c r="F10">
        <f t="shared" si="1"/>
        <v>20</v>
      </c>
      <c r="G10" s="36">
        <f t="shared" si="2"/>
        <v>0.72727272727272729</v>
      </c>
      <c r="J10" s="1">
        <v>28</v>
      </c>
      <c r="K10" s="1">
        <f t="shared" si="3"/>
        <v>14</v>
      </c>
      <c r="L10" s="1">
        <v>20</v>
      </c>
      <c r="M10" s="1">
        <f t="shared" si="4"/>
        <v>10</v>
      </c>
      <c r="N10" s="50">
        <f t="shared" si="5"/>
        <v>0.41666666666666669</v>
      </c>
    </row>
    <row r="11" spans="1:14" x14ac:dyDescent="0.25">
      <c r="C11">
        <v>16</v>
      </c>
      <c r="D11">
        <f t="shared" si="0"/>
        <v>8</v>
      </c>
      <c r="E11">
        <v>40</v>
      </c>
      <c r="F11">
        <f t="shared" si="1"/>
        <v>20</v>
      </c>
      <c r="G11" s="36">
        <f t="shared" si="2"/>
        <v>0.7142857142857143</v>
      </c>
      <c r="J11">
        <v>16</v>
      </c>
      <c r="K11">
        <f t="shared" si="3"/>
        <v>8</v>
      </c>
      <c r="L11">
        <v>40</v>
      </c>
      <c r="M11">
        <f t="shared" si="4"/>
        <v>20</v>
      </c>
      <c r="N11" s="36">
        <f t="shared" si="5"/>
        <v>0.7142857142857143</v>
      </c>
    </row>
    <row r="12" spans="1:14" x14ac:dyDescent="0.25">
      <c r="C12">
        <v>17</v>
      </c>
      <c r="D12">
        <f t="shared" si="0"/>
        <v>8.5</v>
      </c>
      <c r="E12">
        <v>40</v>
      </c>
      <c r="F12">
        <f t="shared" si="1"/>
        <v>20</v>
      </c>
      <c r="G12" s="36">
        <f t="shared" si="2"/>
        <v>0.70175438596491224</v>
      </c>
      <c r="J12">
        <v>17</v>
      </c>
      <c r="K12">
        <f t="shared" si="3"/>
        <v>8.5</v>
      </c>
      <c r="L12">
        <v>40</v>
      </c>
      <c r="M12">
        <f t="shared" si="4"/>
        <v>20</v>
      </c>
      <c r="N12" s="36">
        <f t="shared" si="5"/>
        <v>0.70175438596491224</v>
      </c>
    </row>
    <row r="13" spans="1:14" x14ac:dyDescent="0.25">
      <c r="C13">
        <v>18</v>
      </c>
      <c r="D13">
        <f t="shared" si="0"/>
        <v>9</v>
      </c>
      <c r="E13">
        <v>40</v>
      </c>
      <c r="F13">
        <f t="shared" si="1"/>
        <v>20</v>
      </c>
      <c r="G13" s="36">
        <f t="shared" si="2"/>
        <v>0.68965517241379315</v>
      </c>
      <c r="J13">
        <v>18</v>
      </c>
      <c r="K13">
        <f t="shared" si="3"/>
        <v>9</v>
      </c>
      <c r="L13">
        <v>40</v>
      </c>
      <c r="M13">
        <f t="shared" si="4"/>
        <v>20</v>
      </c>
      <c r="N13" s="36">
        <f t="shared" si="5"/>
        <v>0.68965517241379315</v>
      </c>
    </row>
    <row r="14" spans="1:14" x14ac:dyDescent="0.25">
      <c r="C14">
        <v>19</v>
      </c>
      <c r="D14">
        <f t="shared" si="0"/>
        <v>9.5</v>
      </c>
      <c r="E14">
        <v>40</v>
      </c>
      <c r="F14">
        <f t="shared" si="1"/>
        <v>20</v>
      </c>
      <c r="G14" s="36">
        <f t="shared" si="2"/>
        <v>0.67796610169491522</v>
      </c>
      <c r="J14">
        <v>19</v>
      </c>
      <c r="K14">
        <f t="shared" si="3"/>
        <v>9.5</v>
      </c>
      <c r="L14">
        <v>40</v>
      </c>
      <c r="M14">
        <f t="shared" si="4"/>
        <v>20</v>
      </c>
      <c r="N14" s="36">
        <f t="shared" si="5"/>
        <v>0.67796610169491522</v>
      </c>
    </row>
    <row r="15" spans="1:14" x14ac:dyDescent="0.25">
      <c r="C15">
        <v>20</v>
      </c>
      <c r="D15">
        <f t="shared" si="0"/>
        <v>10</v>
      </c>
      <c r="E15">
        <v>40</v>
      </c>
      <c r="F15">
        <f t="shared" si="1"/>
        <v>20</v>
      </c>
      <c r="G15" s="36">
        <f t="shared" si="2"/>
        <v>0.66666666666666663</v>
      </c>
      <c r="J15">
        <v>30</v>
      </c>
      <c r="K15">
        <f t="shared" si="3"/>
        <v>15</v>
      </c>
      <c r="L15">
        <v>20</v>
      </c>
      <c r="M15">
        <f t="shared" si="4"/>
        <v>10</v>
      </c>
      <c r="N15" s="36">
        <f t="shared" si="5"/>
        <v>0.4</v>
      </c>
    </row>
    <row r="18" spans="1:7" x14ac:dyDescent="0.25">
      <c r="A18" t="s">
        <v>172</v>
      </c>
    </row>
    <row r="19" spans="1:7" x14ac:dyDescent="0.25">
      <c r="A19" t="s">
        <v>173</v>
      </c>
    </row>
    <row r="21" spans="1:7" x14ac:dyDescent="0.25">
      <c r="C21" t="s">
        <v>166</v>
      </c>
      <c r="D21" t="s">
        <v>167</v>
      </c>
      <c r="E21" t="s">
        <v>168</v>
      </c>
      <c r="F21" t="s">
        <v>169</v>
      </c>
      <c r="G21" t="s">
        <v>171</v>
      </c>
    </row>
    <row r="22" spans="1:7" x14ac:dyDescent="0.25">
      <c r="C22">
        <v>10</v>
      </c>
      <c r="D22">
        <f>0.5*C22</f>
        <v>5</v>
      </c>
      <c r="E22">
        <v>30</v>
      </c>
      <c r="F22">
        <f>0.5*E22</f>
        <v>15</v>
      </c>
      <c r="G22" s="36">
        <f>F22/(D22+F22)</f>
        <v>0.75</v>
      </c>
    </row>
    <row r="23" spans="1:7" x14ac:dyDescent="0.25">
      <c r="C23">
        <v>11</v>
      </c>
      <c r="D23">
        <f>0.5*C23</f>
        <v>5.5</v>
      </c>
      <c r="E23">
        <v>30</v>
      </c>
      <c r="F23">
        <f>0.5*E23</f>
        <v>15</v>
      </c>
      <c r="G23" s="36">
        <f>F23/(D23+F23)</f>
        <v>0.73170731707317072</v>
      </c>
    </row>
    <row r="24" spans="1:7" x14ac:dyDescent="0.25">
      <c r="C24">
        <v>12</v>
      </c>
      <c r="D24">
        <f>0.5*C24</f>
        <v>6</v>
      </c>
      <c r="E24">
        <v>30</v>
      </c>
      <c r="F24">
        <f>0.5*E24</f>
        <v>15</v>
      </c>
      <c r="G24" s="36">
        <f>F24/(D24+F24)</f>
        <v>0.7142857142857143</v>
      </c>
    </row>
    <row r="25" spans="1:7" x14ac:dyDescent="0.25">
      <c r="C25">
        <v>13</v>
      </c>
      <c r="D25">
        <f t="shared" ref="D25:D32" si="6">0.5*C25</f>
        <v>6.5</v>
      </c>
      <c r="E25">
        <v>30</v>
      </c>
      <c r="F25">
        <f t="shared" ref="F25:F32" si="7">0.5*E25</f>
        <v>15</v>
      </c>
      <c r="G25" s="36">
        <f t="shared" ref="G25:G32" si="8">F25/(D25+F25)</f>
        <v>0.69767441860465118</v>
      </c>
    </row>
    <row r="26" spans="1:7" x14ac:dyDescent="0.25">
      <c r="C26">
        <v>14</v>
      </c>
      <c r="D26">
        <f t="shared" si="6"/>
        <v>7</v>
      </c>
      <c r="E26">
        <v>30</v>
      </c>
      <c r="F26">
        <f t="shared" si="7"/>
        <v>15</v>
      </c>
      <c r="G26" s="36">
        <f t="shared" si="8"/>
        <v>0.68181818181818177</v>
      </c>
    </row>
    <row r="27" spans="1:7" x14ac:dyDescent="0.25">
      <c r="C27">
        <v>15</v>
      </c>
      <c r="D27">
        <f t="shared" si="6"/>
        <v>7.5</v>
      </c>
      <c r="E27">
        <v>30</v>
      </c>
      <c r="F27">
        <f t="shared" si="7"/>
        <v>15</v>
      </c>
      <c r="G27" s="36">
        <f t="shared" si="8"/>
        <v>0.66666666666666663</v>
      </c>
    </row>
    <row r="28" spans="1:7" x14ac:dyDescent="0.25">
      <c r="C28">
        <v>16</v>
      </c>
      <c r="D28">
        <f t="shared" si="6"/>
        <v>8</v>
      </c>
      <c r="E28">
        <v>30</v>
      </c>
      <c r="F28">
        <f t="shared" si="7"/>
        <v>15</v>
      </c>
      <c r="G28" s="36">
        <f t="shared" si="8"/>
        <v>0.65217391304347827</v>
      </c>
    </row>
    <row r="29" spans="1:7" x14ac:dyDescent="0.25">
      <c r="C29">
        <v>17</v>
      </c>
      <c r="D29">
        <f t="shared" si="6"/>
        <v>8.5</v>
      </c>
      <c r="E29">
        <v>30</v>
      </c>
      <c r="F29">
        <f t="shared" si="7"/>
        <v>15</v>
      </c>
      <c r="G29" s="36">
        <f t="shared" si="8"/>
        <v>0.63829787234042556</v>
      </c>
    </row>
    <row r="30" spans="1:7" x14ac:dyDescent="0.25">
      <c r="C30">
        <v>18</v>
      </c>
      <c r="D30">
        <f t="shared" si="6"/>
        <v>9</v>
      </c>
      <c r="E30">
        <v>30</v>
      </c>
      <c r="F30">
        <f t="shared" si="7"/>
        <v>15</v>
      </c>
      <c r="G30" s="36">
        <f t="shared" si="8"/>
        <v>0.625</v>
      </c>
    </row>
    <row r="31" spans="1:7" x14ac:dyDescent="0.25">
      <c r="C31">
        <v>19</v>
      </c>
      <c r="D31">
        <f t="shared" si="6"/>
        <v>9.5</v>
      </c>
      <c r="E31">
        <v>30</v>
      </c>
      <c r="F31">
        <f t="shared" si="7"/>
        <v>15</v>
      </c>
      <c r="G31" s="36">
        <f t="shared" si="8"/>
        <v>0.61224489795918369</v>
      </c>
    </row>
    <row r="32" spans="1:7" x14ac:dyDescent="0.25">
      <c r="C32">
        <v>20</v>
      </c>
      <c r="D32">
        <f t="shared" si="6"/>
        <v>10</v>
      </c>
      <c r="E32">
        <v>30</v>
      </c>
      <c r="F32">
        <f t="shared" si="7"/>
        <v>15</v>
      </c>
      <c r="G32" s="36">
        <f t="shared" si="8"/>
        <v>0.6</v>
      </c>
    </row>
    <row r="36" spans="3:7" x14ac:dyDescent="0.25">
      <c r="C36" t="s">
        <v>166</v>
      </c>
      <c r="D36" t="s">
        <v>167</v>
      </c>
      <c r="E36" t="s">
        <v>168</v>
      </c>
      <c r="F36" t="s">
        <v>169</v>
      </c>
      <c r="G36" t="s">
        <v>171</v>
      </c>
    </row>
    <row r="37" spans="3:7" x14ac:dyDescent="0.25">
      <c r="C37">
        <v>10</v>
      </c>
      <c r="D37">
        <f>0.5*C37</f>
        <v>5</v>
      </c>
      <c r="E37">
        <v>50</v>
      </c>
      <c r="F37">
        <f>0.5*E37</f>
        <v>25</v>
      </c>
      <c r="G37" s="36">
        <f>F37/(D37+F37)</f>
        <v>0.83333333333333337</v>
      </c>
    </row>
    <row r="38" spans="3:7" x14ac:dyDescent="0.25">
      <c r="C38">
        <v>11</v>
      </c>
      <c r="D38">
        <f>0.5*C38</f>
        <v>5.5</v>
      </c>
      <c r="E38">
        <v>50</v>
      </c>
      <c r="F38">
        <f>0.5*E38</f>
        <v>25</v>
      </c>
      <c r="G38" s="36">
        <f>F38/(D38+F38)</f>
        <v>0.81967213114754101</v>
      </c>
    </row>
    <row r="39" spans="3:7" x14ac:dyDescent="0.25">
      <c r="C39">
        <v>12</v>
      </c>
      <c r="D39">
        <f>0.5*C39</f>
        <v>6</v>
      </c>
      <c r="E39">
        <v>50</v>
      </c>
      <c r="F39">
        <f>0.5*E39</f>
        <v>25</v>
      </c>
      <c r="G39" s="36">
        <f>F39/(D39+F39)</f>
        <v>0.80645161290322576</v>
      </c>
    </row>
    <row r="40" spans="3:7" x14ac:dyDescent="0.25">
      <c r="C40">
        <v>13</v>
      </c>
      <c r="D40">
        <f t="shared" ref="D40:D47" si="9">0.5*C40</f>
        <v>6.5</v>
      </c>
      <c r="E40">
        <v>50</v>
      </c>
      <c r="F40">
        <f t="shared" ref="F40:F47" si="10">0.5*E40</f>
        <v>25</v>
      </c>
      <c r="G40" s="36">
        <f t="shared" ref="G40:G47" si="11">F40/(D40+F40)</f>
        <v>0.79365079365079361</v>
      </c>
    </row>
    <row r="41" spans="3:7" x14ac:dyDescent="0.25">
      <c r="C41">
        <v>14</v>
      </c>
      <c r="D41">
        <f t="shared" si="9"/>
        <v>7</v>
      </c>
      <c r="E41">
        <v>50</v>
      </c>
      <c r="F41">
        <f t="shared" si="10"/>
        <v>25</v>
      </c>
      <c r="G41" s="36">
        <f t="shared" si="11"/>
        <v>0.78125</v>
      </c>
    </row>
    <row r="42" spans="3:7" x14ac:dyDescent="0.25">
      <c r="C42">
        <v>15</v>
      </c>
      <c r="D42">
        <f t="shared" si="9"/>
        <v>7.5</v>
      </c>
      <c r="E42">
        <v>50</v>
      </c>
      <c r="F42">
        <f t="shared" si="10"/>
        <v>25</v>
      </c>
      <c r="G42" s="36">
        <f t="shared" si="11"/>
        <v>0.76923076923076927</v>
      </c>
    </row>
    <row r="43" spans="3:7" x14ac:dyDescent="0.25">
      <c r="C43">
        <v>16</v>
      </c>
      <c r="D43">
        <f t="shared" si="9"/>
        <v>8</v>
      </c>
      <c r="E43">
        <v>50</v>
      </c>
      <c r="F43">
        <f t="shared" si="10"/>
        <v>25</v>
      </c>
      <c r="G43" s="36">
        <f t="shared" si="11"/>
        <v>0.75757575757575757</v>
      </c>
    </row>
    <row r="44" spans="3:7" x14ac:dyDescent="0.25">
      <c r="C44">
        <v>17</v>
      </c>
      <c r="D44">
        <f t="shared" si="9"/>
        <v>8.5</v>
      </c>
      <c r="E44">
        <v>50</v>
      </c>
      <c r="F44">
        <f t="shared" si="10"/>
        <v>25</v>
      </c>
      <c r="G44" s="36">
        <f t="shared" si="11"/>
        <v>0.74626865671641796</v>
      </c>
    </row>
    <row r="45" spans="3:7" x14ac:dyDescent="0.25">
      <c r="C45">
        <v>18</v>
      </c>
      <c r="D45">
        <f t="shared" si="9"/>
        <v>9</v>
      </c>
      <c r="E45">
        <v>50</v>
      </c>
      <c r="F45">
        <f t="shared" si="10"/>
        <v>25</v>
      </c>
      <c r="G45" s="36">
        <f t="shared" si="11"/>
        <v>0.73529411764705888</v>
      </c>
    </row>
    <row r="46" spans="3:7" x14ac:dyDescent="0.25">
      <c r="C46">
        <v>19</v>
      </c>
      <c r="D46">
        <f t="shared" si="9"/>
        <v>9.5</v>
      </c>
      <c r="E46">
        <v>50</v>
      </c>
      <c r="F46">
        <f t="shared" si="10"/>
        <v>25</v>
      </c>
      <c r="G46" s="36">
        <f t="shared" si="11"/>
        <v>0.72463768115942029</v>
      </c>
    </row>
    <row r="47" spans="3:7" x14ac:dyDescent="0.25">
      <c r="C47">
        <v>20</v>
      </c>
      <c r="D47">
        <f t="shared" si="9"/>
        <v>10</v>
      </c>
      <c r="E47">
        <v>50</v>
      </c>
      <c r="F47">
        <f t="shared" si="10"/>
        <v>25</v>
      </c>
      <c r="G47" s="36">
        <f t="shared" si="11"/>
        <v>0.7142857142857143</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14</vt:i4>
      </vt:variant>
    </vt:vector>
  </HeadingPairs>
  <TitlesOfParts>
    <vt:vector size="14" baseType="lpstr">
      <vt:lpstr>CalculadoraFuturos2.0-Diario</vt:lpstr>
      <vt:lpstr>CalculadoraFuturos2.0-V2</vt:lpstr>
      <vt:lpstr>Calculadora</vt:lpstr>
      <vt:lpstr>Calculadora (2)</vt:lpstr>
      <vt:lpstr>Varios 1</vt:lpstr>
      <vt:lpstr>Varios 2</vt:lpstr>
      <vt:lpstr>CalculadoraFuturos</vt:lpstr>
      <vt:lpstr>CalculadoraFuturos2.0</vt:lpstr>
      <vt:lpstr>Tabla de Scalping</vt:lpstr>
      <vt:lpstr>Calculos-SuperposicionRenkos</vt:lpstr>
      <vt:lpstr>Calculos-Patrones-Probabilidad</vt:lpstr>
      <vt:lpstr>Reporte-Patrones-Probabilidad</vt:lpstr>
      <vt:lpstr>Calculos-Aciertos-Drone</vt:lpstr>
      <vt:lpstr>Calculos-Aciertos-Cian-Renko3-1</vt:lpstr>
    </vt:vector>
  </TitlesOfParts>
  <Company>HP</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Baudelio Báez</cp:lastModifiedBy>
  <dcterms:created xsi:type="dcterms:W3CDTF">2020-07-15T00:24:02Z</dcterms:created>
  <dcterms:modified xsi:type="dcterms:W3CDTF">2020-09-22T18:28:53Z</dcterms:modified>
</cp:coreProperties>
</file>